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255" yWindow="30" windowWidth="19035" windowHeight="12780" tabRatio="722"/>
  </bookViews>
  <sheets>
    <sheet name="Data" sheetId="14" r:id="rId1"/>
    <sheet name="Fuel Price" sheetId="4" r:id="rId2"/>
    <sheet name="Diesel Fuel Price" sheetId="16" r:id="rId3"/>
    <sheet name="Total Spend" sheetId="13" r:id="rId4"/>
    <sheet name="Per Month" sheetId="17" r:id="rId5"/>
    <sheet name="MPG" sheetId="18" r:id="rId6"/>
    <sheet name="% Full" sheetId="19" r:id="rId7"/>
  </sheets>
  <calcPr calcId="125725"/>
</workbook>
</file>

<file path=xl/calcChain.xml><?xml version="1.0" encoding="utf-8"?>
<calcChain xmlns="http://schemas.openxmlformats.org/spreadsheetml/2006/main">
  <c r="J13" i="14"/>
  <c r="J14"/>
  <c r="P3" s="1"/>
  <c r="J15"/>
  <c r="J16"/>
  <c r="J17"/>
  <c r="J18"/>
  <c r="J19"/>
  <c r="J20"/>
  <c r="J21"/>
  <c r="J22"/>
  <c r="J23"/>
  <c r="J24"/>
  <c r="J25"/>
  <c r="J26"/>
  <c r="J27"/>
  <c r="J28"/>
  <c r="J29"/>
  <c r="J30"/>
  <c r="H4"/>
  <c r="H5"/>
  <c r="H6"/>
  <c r="G13"/>
  <c r="M13" s="1"/>
  <c r="G14"/>
  <c r="M14"/>
  <c r="G15"/>
  <c r="M15" s="1"/>
  <c r="G16"/>
  <c r="M16"/>
  <c r="G17"/>
  <c r="M17" s="1"/>
  <c r="G18"/>
  <c r="M18"/>
  <c r="G19"/>
  <c r="M19" s="1"/>
  <c r="G20"/>
  <c r="M20"/>
  <c r="G21"/>
  <c r="M21" s="1"/>
  <c r="G22"/>
  <c r="M22"/>
  <c r="G23"/>
  <c r="M23" s="1"/>
  <c r="G24"/>
  <c r="M24"/>
  <c r="G25"/>
  <c r="M25" s="1"/>
  <c r="G26"/>
  <c r="M26"/>
  <c r="G27"/>
  <c r="M27" s="1"/>
  <c r="G28"/>
  <c r="M28"/>
  <c r="G29"/>
  <c r="M29" s="1"/>
  <c r="G30"/>
  <c r="M30"/>
  <c r="B8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G31"/>
  <c r="M31" s="1"/>
  <c r="G32"/>
  <c r="M32" s="1"/>
  <c r="N32" s="1"/>
  <c r="G33"/>
  <c r="M33" s="1"/>
  <c r="N33" s="1"/>
  <c r="G34"/>
  <c r="M34" s="1"/>
  <c r="N34" s="1"/>
  <c r="G35"/>
  <c r="M35" s="1"/>
  <c r="G36"/>
  <c r="M36" s="1"/>
  <c r="N36" s="1"/>
  <c r="G37"/>
  <c r="M37" s="1"/>
  <c r="N37" s="1"/>
  <c r="G38"/>
  <c r="M38" s="1"/>
  <c r="N38" s="1"/>
  <c r="G39"/>
  <c r="M39" s="1"/>
  <c r="G40"/>
  <c r="M40" s="1"/>
  <c r="N40" s="1"/>
  <c r="G41"/>
  <c r="M41" s="1"/>
  <c r="N41" s="1"/>
  <c r="G42"/>
  <c r="M42" s="1"/>
  <c r="N42" s="1"/>
  <c r="G43"/>
  <c r="M43" s="1"/>
  <c r="G44"/>
  <c r="M44" s="1"/>
  <c r="N44" s="1"/>
  <c r="G45"/>
  <c r="M45" s="1"/>
  <c r="N45" s="1"/>
  <c r="G46"/>
  <c r="M46" s="1"/>
  <c r="N46" s="1"/>
  <c r="G47"/>
  <c r="M47" s="1"/>
  <c r="G48"/>
  <c r="M48" s="1"/>
  <c r="N48" s="1"/>
  <c r="G49"/>
  <c r="M49" s="1"/>
  <c r="N49" s="1"/>
  <c r="G50"/>
  <c r="M50" s="1"/>
  <c r="N50" s="1"/>
  <c r="G51"/>
  <c r="M51" s="1"/>
  <c r="N51" s="1"/>
  <c r="D31"/>
  <c r="K31" s="1"/>
  <c r="D14"/>
  <c r="K3" s="1"/>
  <c r="D15"/>
  <c r="K15" s="1"/>
  <c r="D16"/>
  <c r="K16" s="1"/>
  <c r="D17"/>
  <c r="K17" s="1"/>
  <c r="D18"/>
  <c r="K18" s="1"/>
  <c r="D19"/>
  <c r="K19" s="1"/>
  <c r="D20"/>
  <c r="K20" s="1"/>
  <c r="D21"/>
  <c r="K21" s="1"/>
  <c r="D22"/>
  <c r="K22" s="1"/>
  <c r="D23"/>
  <c r="K23" s="1"/>
  <c r="D24"/>
  <c r="K24" s="1"/>
  <c r="D25"/>
  <c r="K25" s="1"/>
  <c r="D26"/>
  <c r="K26" s="1"/>
  <c r="D27"/>
  <c r="K27" s="1"/>
  <c r="D28"/>
  <c r="K28" s="1"/>
  <c r="D29"/>
  <c r="K29" s="1"/>
  <c r="D30"/>
  <c r="K30" s="1"/>
  <c r="L13"/>
  <c r="N13" s="1"/>
  <c r="L14"/>
  <c r="N14" s="1"/>
  <c r="L15"/>
  <c r="N15" s="1"/>
  <c r="Z14"/>
  <c r="L16"/>
  <c r="N16" s="1"/>
  <c r="Z15"/>
  <c r="L17"/>
  <c r="N17" s="1"/>
  <c r="Z16"/>
  <c r="L18"/>
  <c r="N18" s="1"/>
  <c r="Z17"/>
  <c r="L19"/>
  <c r="N19" s="1"/>
  <c r="Z18"/>
  <c r="L20"/>
  <c r="N20" s="1"/>
  <c r="Z19"/>
  <c r="L21"/>
  <c r="N21" s="1"/>
  <c r="Z20"/>
  <c r="L22"/>
  <c r="N22" s="1"/>
  <c r="Z21"/>
  <c r="L23"/>
  <c r="N23" s="1"/>
  <c r="Z22"/>
  <c r="L24"/>
  <c r="N24" s="1"/>
  <c r="Z23"/>
  <c r="L25"/>
  <c r="N25" s="1"/>
  <c r="Z24"/>
  <c r="L26"/>
  <c r="N26" s="1"/>
  <c r="Z25"/>
  <c r="L27"/>
  <c r="N27" s="1"/>
  <c r="Z26"/>
  <c r="L28"/>
  <c r="N28" s="1"/>
  <c r="Z27"/>
  <c r="L29"/>
  <c r="N29" s="1"/>
  <c r="Z28"/>
  <c r="L30"/>
  <c r="N30" s="1"/>
  <c r="Z29"/>
  <c r="L31"/>
  <c r="Z30"/>
  <c r="L32"/>
  <c r="Z31"/>
  <c r="L33"/>
  <c r="Z32"/>
  <c r="L34"/>
  <c r="Z33"/>
  <c r="L35"/>
  <c r="Z34"/>
  <c r="L36"/>
  <c r="Z35"/>
  <c r="L37"/>
  <c r="Z36"/>
  <c r="L38"/>
  <c r="Z37"/>
  <c r="L39"/>
  <c r="Z38"/>
  <c r="L40"/>
  <c r="Z39"/>
  <c r="L41"/>
  <c r="Z40"/>
  <c r="L42"/>
  <c r="Z41"/>
  <c r="L43"/>
  <c r="Z42"/>
  <c r="L44"/>
  <c r="Z43"/>
  <c r="L45"/>
  <c r="Z44"/>
  <c r="L46"/>
  <c r="Z45"/>
  <c r="L47"/>
  <c r="Z46"/>
  <c r="L48"/>
  <c r="Z47"/>
  <c r="L49"/>
  <c r="Z48"/>
  <c r="L50"/>
  <c r="Z49"/>
  <c r="L51"/>
  <c r="Z50"/>
  <c r="Z51"/>
  <c r="Z13"/>
  <c r="Y51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13"/>
  <c r="W14"/>
  <c r="W15"/>
  <c r="W16"/>
  <c r="W17"/>
  <c r="W18"/>
  <c r="W19"/>
  <c r="W20"/>
  <c r="W21"/>
  <c r="W22"/>
  <c r="W23"/>
  <c r="W24"/>
  <c r="W25"/>
  <c r="W26"/>
  <c r="W27"/>
  <c r="W28"/>
  <c r="W29"/>
  <c r="W30"/>
  <c r="D32"/>
  <c r="K32" s="1"/>
  <c r="D33"/>
  <c r="K33" s="1"/>
  <c r="D34"/>
  <c r="D35"/>
  <c r="K35" s="1"/>
  <c r="D36"/>
  <c r="D37"/>
  <c r="K37" s="1"/>
  <c r="D38"/>
  <c r="D39"/>
  <c r="K39" s="1"/>
  <c r="D40"/>
  <c r="D41"/>
  <c r="K41" s="1"/>
  <c r="D42"/>
  <c r="D43"/>
  <c r="K43" s="1"/>
  <c r="D44"/>
  <c r="D45"/>
  <c r="K45" s="1"/>
  <c r="D46"/>
  <c r="D47"/>
  <c r="K47" s="1"/>
  <c r="D48"/>
  <c r="D49"/>
  <c r="K49" s="1"/>
  <c r="D50"/>
  <c r="D51"/>
  <c r="K51" s="1"/>
  <c r="W51"/>
  <c r="K34"/>
  <c r="K36"/>
  <c r="K38"/>
  <c r="K40"/>
  <c r="K42"/>
  <c r="K44"/>
  <c r="K46"/>
  <c r="K48"/>
  <c r="K50"/>
  <c r="K9"/>
  <c r="I14"/>
  <c r="AI14"/>
  <c r="I15"/>
  <c r="AI15"/>
  <c r="I16"/>
  <c r="AI16"/>
  <c r="I17"/>
  <c r="AI17"/>
  <c r="I18"/>
  <c r="AI18"/>
  <c r="I19"/>
  <c r="AI19"/>
  <c r="I20"/>
  <c r="AI20"/>
  <c r="I21"/>
  <c r="AI21"/>
  <c r="I22"/>
  <c r="AI22"/>
  <c r="I23"/>
  <c r="AI23"/>
  <c r="I24"/>
  <c r="AI24"/>
  <c r="I25"/>
  <c r="AI25"/>
  <c r="I26"/>
  <c r="AI26"/>
  <c r="I27"/>
  <c r="AI27"/>
  <c r="I28"/>
  <c r="AI28"/>
  <c r="I29"/>
  <c r="AI29"/>
  <c r="I30"/>
  <c r="AI30"/>
  <c r="I31"/>
  <c r="AI31"/>
  <c r="I32"/>
  <c r="AI32"/>
  <c r="I33"/>
  <c r="AI33"/>
  <c r="I34"/>
  <c r="AI34"/>
  <c r="I35"/>
  <c r="AI35"/>
  <c r="I36"/>
  <c r="AI36"/>
  <c r="I37"/>
  <c r="AI37"/>
  <c r="I38"/>
  <c r="AI38"/>
  <c r="I39"/>
  <c r="AI39"/>
  <c r="I40"/>
  <c r="AI40"/>
  <c r="I41"/>
  <c r="AI41"/>
  <c r="I42"/>
  <c r="AI42"/>
  <c r="I43"/>
  <c r="AI43"/>
  <c r="I44"/>
  <c r="AI44"/>
  <c r="I45"/>
  <c r="AI45"/>
  <c r="I46"/>
  <c r="AI46"/>
  <c r="I47"/>
  <c r="AI47"/>
  <c r="I48"/>
  <c r="AI48"/>
  <c r="I49"/>
  <c r="AI49"/>
  <c r="I50"/>
  <c r="AI50"/>
  <c r="I51"/>
  <c r="AI51"/>
  <c r="I13"/>
  <c r="AI13"/>
  <c r="T18"/>
  <c r="T22"/>
  <c r="AB46" s="1"/>
  <c r="T26"/>
  <c r="T30"/>
  <c r="T34"/>
  <c r="T38"/>
  <c r="T42"/>
  <c r="T46"/>
  <c r="T50"/>
  <c r="AB50"/>
  <c r="AB42"/>
  <c r="AB34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P18"/>
  <c r="P22"/>
  <c r="P26"/>
  <c r="P30"/>
  <c r="B14"/>
  <c r="L3" s="1"/>
  <c r="B15"/>
  <c r="B16"/>
  <c r="B17"/>
  <c r="B18"/>
  <c r="B19"/>
  <c r="B20"/>
  <c r="B21"/>
  <c r="B22"/>
  <c r="B23"/>
  <c r="B24"/>
  <c r="B25"/>
  <c r="B26"/>
  <c r="B27"/>
  <c r="B28"/>
  <c r="B29"/>
  <c r="B30"/>
  <c r="S18"/>
  <c r="S22"/>
  <c r="S26"/>
  <c r="P50"/>
  <c r="P46"/>
  <c r="P42"/>
  <c r="P38"/>
  <c r="P34"/>
  <c r="B2"/>
  <c r="B32"/>
  <c r="E32" s="1"/>
  <c r="B31"/>
  <c r="E31"/>
  <c r="E30"/>
  <c r="AB18"/>
  <c r="AB30"/>
  <c r="R50"/>
  <c r="R46"/>
  <c r="R42"/>
  <c r="R38"/>
  <c r="R34"/>
  <c r="R30"/>
  <c r="R26"/>
  <c r="R22"/>
  <c r="R18"/>
  <c r="E14"/>
  <c r="E15"/>
  <c r="E16"/>
  <c r="E17"/>
  <c r="E18"/>
  <c r="E19"/>
  <c r="E20"/>
  <c r="E21"/>
  <c r="E22"/>
  <c r="E23"/>
  <c r="E24"/>
  <c r="E25"/>
  <c r="E26"/>
  <c r="E27"/>
  <c r="E28"/>
  <c r="E29"/>
  <c r="B33"/>
  <c r="E33" s="1"/>
  <c r="B34"/>
  <c r="E34" s="1"/>
  <c r="B35"/>
  <c r="E35" s="1"/>
  <c r="B36"/>
  <c r="E36" s="1"/>
  <c r="B37"/>
  <c r="E37" s="1"/>
  <c r="B38"/>
  <c r="E38" s="1"/>
  <c r="B39"/>
  <c r="E39" s="1"/>
  <c r="B40"/>
  <c r="E40" s="1"/>
  <c r="B41"/>
  <c r="E41" s="1"/>
  <c r="B42"/>
  <c r="E42" s="1"/>
  <c r="B43"/>
  <c r="E43" s="1"/>
  <c r="B44"/>
  <c r="E44" s="1"/>
  <c r="B45"/>
  <c r="E45" s="1"/>
  <c r="B46"/>
  <c r="E46" s="1"/>
  <c r="B47"/>
  <c r="E47" s="1"/>
  <c r="B48"/>
  <c r="E48" s="1"/>
  <c r="B49"/>
  <c r="E49" s="1"/>
  <c r="B50"/>
  <c r="E50" s="1"/>
  <c r="B51"/>
  <c r="E51" s="1"/>
  <c r="Q30"/>
  <c r="Q18"/>
  <c r="S30"/>
  <c r="Q34"/>
  <c r="S34"/>
  <c r="Q38"/>
  <c r="S38"/>
  <c r="Q42"/>
  <c r="S42"/>
  <c r="Q46"/>
  <c r="S46"/>
  <c r="Q50"/>
  <c r="S50"/>
  <c r="Q26"/>
  <c r="Q22"/>
  <c r="AE13"/>
  <c r="L4" l="1"/>
  <c r="L5"/>
  <c r="L6" s="1"/>
  <c r="K4"/>
  <c r="K5"/>
  <c r="K6" s="1"/>
  <c r="N47"/>
  <c r="U50"/>
  <c r="V50" s="1"/>
  <c r="N43"/>
  <c r="U46"/>
  <c r="V46" s="1"/>
  <c r="N39"/>
  <c r="U42"/>
  <c r="V42" s="1"/>
  <c r="N35"/>
  <c r="U38"/>
  <c r="V38" s="1"/>
  <c r="U34"/>
  <c r="V34" s="1"/>
  <c r="N31"/>
  <c r="U30"/>
  <c r="V30" s="1"/>
  <c r="U26"/>
  <c r="V26" s="1"/>
  <c r="U22"/>
  <c r="V22" s="1"/>
  <c r="U18"/>
  <c r="O3"/>
  <c r="M9"/>
  <c r="L9"/>
  <c r="N3"/>
  <c r="P4"/>
  <c r="P5"/>
  <c r="P6" s="1"/>
  <c r="M3"/>
  <c r="AB38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K14"/>
  <c r="AA17" l="1"/>
  <c r="AA19"/>
  <c r="AA21"/>
  <c r="AA23"/>
  <c r="AA25"/>
  <c r="AA27"/>
  <c r="AA29"/>
  <c r="AA31"/>
  <c r="AA33"/>
  <c r="AA35"/>
  <c r="AA37"/>
  <c r="AA39"/>
  <c r="AA41"/>
  <c r="AA43"/>
  <c r="AA45"/>
  <c r="AA47"/>
  <c r="AA49"/>
  <c r="AA51"/>
  <c r="AA16"/>
  <c r="AA18"/>
  <c r="AA20"/>
  <c r="AA22"/>
  <c r="AA24"/>
  <c r="AA26"/>
  <c r="AA28"/>
  <c r="AA30"/>
  <c r="AA32"/>
  <c r="AA34"/>
  <c r="AA36"/>
  <c r="AA38"/>
  <c r="AA40"/>
  <c r="AA42"/>
  <c r="AA44"/>
  <c r="AA46"/>
  <c r="AA48"/>
  <c r="AA50"/>
  <c r="AA15"/>
  <c r="M5"/>
  <c r="M6" s="1"/>
  <c r="M4"/>
  <c r="O4"/>
  <c r="O5"/>
  <c r="N4"/>
  <c r="N5"/>
  <c r="N6" s="1"/>
  <c r="V18"/>
  <c r="AC50"/>
  <c r="AC46"/>
  <c r="AC42"/>
  <c r="AC38"/>
  <c r="AC34"/>
  <c r="AC18"/>
  <c r="AC30"/>
  <c r="O6" l="1"/>
  <c r="B6"/>
  <c r="B5" s="1"/>
  <c r="AD50"/>
  <c r="AD46"/>
  <c r="AD38"/>
  <c r="AD34"/>
  <c r="AD18"/>
  <c r="AD30"/>
  <c r="AD42"/>
</calcChain>
</file>

<file path=xl/sharedStrings.xml><?xml version="1.0" encoding="utf-8"?>
<sst xmlns="http://schemas.openxmlformats.org/spreadsheetml/2006/main" count="76" uniqueCount="57">
  <si>
    <t>Odometer (mi)</t>
  </si>
  <si>
    <t>Date</t>
  </si>
  <si>
    <t>MPG</t>
  </si>
  <si>
    <t>Diesel</t>
  </si>
  <si>
    <t xml:space="preserve">Diesel </t>
  </si>
  <si>
    <t>Veg</t>
  </si>
  <si>
    <t>Total Spend</t>
  </si>
  <si>
    <t>Difference</t>
  </si>
  <si>
    <t>Per Month</t>
  </si>
  <si>
    <t>Months</t>
  </si>
  <si>
    <t>Total Spent</t>
  </si>
  <si>
    <t>Makro</t>
  </si>
  <si>
    <t>Amount (L)</t>
  </si>
  <si>
    <t>Litres</t>
  </si>
  <si>
    <t>£/L</t>
  </si>
  <si>
    <t>Time Taken to pay</t>
  </si>
  <si>
    <t>Per Year</t>
  </si>
  <si>
    <t>Diesel Price</t>
  </si>
  <si>
    <t>Averages</t>
  </si>
  <si>
    <t>Days Between Fills</t>
  </si>
  <si>
    <t>Trip Distance (mi)</t>
  </si>
  <si>
    <t>Miles</t>
  </si>
  <si>
    <t>Average by Period</t>
  </si>
  <si>
    <t>Miles Per Day</t>
  </si>
  <si>
    <t>Savings</t>
  </si>
  <si>
    <t>JJ Foods</t>
  </si>
  <si>
    <t>Company</t>
  </si>
  <si>
    <t>Days</t>
  </si>
  <si>
    <t>Costco</t>
  </si>
  <si>
    <t>Bosch Cost</t>
  </si>
  <si>
    <t>Month</t>
  </si>
  <si>
    <t>Veg Price</t>
  </si>
  <si>
    <t>Max</t>
  </si>
  <si>
    <t>Min</t>
  </si>
  <si>
    <t>Total spend and price</t>
  </si>
  <si>
    <t>Price</t>
  </si>
  <si>
    <t>Fuel tank size</t>
  </si>
  <si>
    <t>Percentage full</t>
  </si>
  <si>
    <t>% full</t>
  </si>
  <si>
    <t>Over 100%</t>
  </si>
  <si>
    <t>Number of Barrels</t>
  </si>
  <si>
    <t>Trip</t>
  </si>
  <si>
    <t>Fill (L)</t>
  </si>
  <si>
    <t xml:space="preserve">Price </t>
  </si>
  <si>
    <t>Cost</t>
  </si>
  <si>
    <t>Barrel</t>
  </si>
  <si>
    <t>Gallon (uk)</t>
  </si>
  <si>
    <t>Diesel Price range</t>
  </si>
  <si>
    <t>p</t>
  </si>
  <si>
    <t>Barrels</t>
  </si>
  <si>
    <t xml:space="preserve">Veg Oil Prices </t>
  </si>
  <si>
    <t>Barrel Size (L)</t>
  </si>
  <si>
    <t>Per Week</t>
  </si>
  <si>
    <t>Per Day</t>
  </si>
  <si>
    <t>Spend Diesel</t>
  </si>
  <si>
    <t>Spend Veg</t>
  </si>
  <si>
    <t>Input Data down here</t>
  </si>
</sst>
</file>

<file path=xl/styles.xml><?xml version="1.0" encoding="utf-8"?>
<styleSheet xmlns="http://schemas.openxmlformats.org/spreadsheetml/2006/main">
  <numFmts count="8">
    <numFmt numFmtId="164" formatCode="&quot;£&quot;#,##0.00"/>
    <numFmt numFmtId="167" formatCode="&quot;£&quot;#,##0.000"/>
    <numFmt numFmtId="169" formatCode="[$-F800]dddd\,\ mmmm\ dd\,\ yyyy"/>
    <numFmt numFmtId="170" formatCode="#,##0.0"/>
    <numFmt numFmtId="175" formatCode="0.000"/>
    <numFmt numFmtId="179" formatCode="0.0"/>
    <numFmt numFmtId="181" formatCode="&quot;£&quot;#,##0"/>
    <numFmt numFmtId="183" formatCode="0.0%"/>
  </numFmts>
  <fonts count="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lightDown"/>
    </fill>
    <fill>
      <patternFill patternType="lightTrellis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1" xfId="0" applyBorder="1"/>
    <xf numFmtId="2" fontId="0" fillId="0" borderId="2" xfId="0" applyNumberFormat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Border="1"/>
    <xf numFmtId="0" fontId="0" fillId="0" borderId="0" xfId="0" applyAlignment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5" xfId="0" applyNumberFormat="1" applyBorder="1"/>
    <xf numFmtId="0" fontId="0" fillId="0" borderId="9" xfId="0" applyBorder="1"/>
    <xf numFmtId="167" fontId="0" fillId="0" borderId="10" xfId="0" applyNumberFormat="1" applyFill="1" applyBorder="1"/>
    <xf numFmtId="167" fontId="0" fillId="0" borderId="11" xfId="0" applyNumberFormat="1" applyFill="1" applyBorder="1"/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23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0" fillId="3" borderId="24" xfId="0" applyNumberFormat="1" applyFill="1" applyBorder="1" applyAlignment="1">
      <alignment horizontal="center" vertical="center"/>
    </xf>
    <xf numFmtId="4" fontId="0" fillId="3" borderId="10" xfId="0" applyNumberForma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3" borderId="11" xfId="0" applyNumberFormat="1" applyFill="1" applyBorder="1" applyAlignment="1">
      <alignment horizontal="center" vertical="center"/>
    </xf>
    <xf numFmtId="167" fontId="0" fillId="0" borderId="24" xfId="0" applyNumberFormat="1" applyBorder="1"/>
    <xf numFmtId="167" fontId="0" fillId="0" borderId="10" xfId="0" applyNumberFormat="1" applyBorder="1"/>
    <xf numFmtId="167" fontId="0" fillId="0" borderId="25" xfId="0" applyNumberFormat="1" applyBorder="1"/>
    <xf numFmtId="167" fontId="0" fillId="0" borderId="11" xfId="0" applyNumberFormat="1" applyBorder="1"/>
    <xf numFmtId="164" fontId="0" fillId="0" borderId="1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4" fontId="0" fillId="3" borderId="25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2" fontId="0" fillId="0" borderId="10" xfId="0" applyNumberFormat="1" applyBorder="1"/>
    <xf numFmtId="2" fontId="0" fillId="0" borderId="11" xfId="0" applyNumberFormat="1" applyBorder="1"/>
    <xf numFmtId="0" fontId="0" fillId="4" borderId="24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9" fontId="0" fillId="0" borderId="30" xfId="0" applyNumberFormat="1" applyBorder="1"/>
    <xf numFmtId="179" fontId="0" fillId="0" borderId="11" xfId="0" applyNumberFormat="1" applyBorder="1"/>
    <xf numFmtId="175" fontId="0" fillId="0" borderId="0" xfId="0" applyNumberFormat="1" applyBorder="1"/>
    <xf numFmtId="2" fontId="0" fillId="4" borderId="24" xfId="0" applyNumberFormat="1" applyFill="1" applyBorder="1"/>
    <xf numFmtId="164" fontId="0" fillId="0" borderId="24" xfId="0" applyNumberFormat="1" applyBorder="1" applyAlignment="1">
      <alignment horizontal="center" vertical="center"/>
    </xf>
    <xf numFmtId="175" fontId="0" fillId="0" borderId="10" xfId="0" applyNumberFormat="1" applyBorder="1" applyAlignment="1">
      <alignment horizontal="center" vertical="center"/>
    </xf>
    <xf numFmtId="175" fontId="0" fillId="0" borderId="11" xfId="0" applyNumberFormat="1" applyBorder="1" applyAlignment="1">
      <alignment horizontal="center" vertical="center"/>
    </xf>
    <xf numFmtId="0" fontId="0" fillId="0" borderId="31" xfId="0" applyFill="1" applyBorder="1"/>
    <xf numFmtId="0" fontId="0" fillId="0" borderId="6" xfId="0" applyBorder="1" applyAlignment="1">
      <alignment horizontal="center" vertical="center"/>
    </xf>
    <xf numFmtId="0" fontId="0" fillId="0" borderId="0" xfId="0" applyBorder="1" applyAlignment="1"/>
    <xf numFmtId="0" fontId="0" fillId="0" borderId="11" xfId="0" applyFill="1" applyBorder="1"/>
    <xf numFmtId="0" fontId="0" fillId="0" borderId="10" xfId="0" applyFill="1" applyBorder="1"/>
    <xf numFmtId="2" fontId="0" fillId="0" borderId="17" xfId="0" applyNumberFormat="1" applyBorder="1"/>
    <xf numFmtId="164" fontId="0" fillId="0" borderId="16" xfId="0" applyNumberFormat="1" applyBorder="1"/>
    <xf numFmtId="1" fontId="0" fillId="3" borderId="24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167" fontId="0" fillId="2" borderId="32" xfId="0" applyNumberFormat="1" applyFill="1" applyBorder="1" applyAlignment="1">
      <alignment horizontal="center" vertical="center"/>
    </xf>
    <xf numFmtId="167" fontId="0" fillId="2" borderId="26" xfId="0" applyNumberFormat="1" applyFill="1" applyBorder="1" applyAlignment="1">
      <alignment horizontal="center" vertical="center"/>
    </xf>
    <xf numFmtId="167" fontId="0" fillId="0" borderId="26" xfId="0" applyNumberFormat="1" applyBorder="1" applyAlignment="1">
      <alignment horizontal="center" vertical="center"/>
    </xf>
    <xf numFmtId="167" fontId="0" fillId="2" borderId="33" xfId="0" applyNumberFormat="1" applyFill="1" applyBorder="1" applyAlignment="1">
      <alignment horizontal="center" vertical="center"/>
    </xf>
    <xf numFmtId="167" fontId="0" fillId="2" borderId="34" xfId="0" applyNumberFormat="1" applyFill="1" applyBorder="1" applyAlignment="1">
      <alignment horizontal="center" vertical="center"/>
    </xf>
    <xf numFmtId="17" fontId="0" fillId="0" borderId="35" xfId="0" applyNumberFormat="1" applyBorder="1" applyAlignment="1">
      <alignment horizontal="center" vertical="center"/>
    </xf>
    <xf numFmtId="17" fontId="0" fillId="0" borderId="36" xfId="0" applyNumberFormat="1" applyBorder="1" applyAlignment="1">
      <alignment horizontal="center" vertical="center"/>
    </xf>
    <xf numFmtId="167" fontId="0" fillId="2" borderId="24" xfId="0" applyNumberFormat="1" applyFill="1" applyBorder="1" applyAlignment="1">
      <alignment horizontal="center" vertical="center"/>
    </xf>
    <xf numFmtId="167" fontId="0" fillId="2" borderId="10" xfId="0" applyNumberFormat="1" applyFill="1" applyBorder="1" applyAlignment="1">
      <alignment horizontal="center" vertical="center"/>
    </xf>
    <xf numFmtId="167" fontId="0" fillId="0" borderId="10" xfId="0" applyNumberFormat="1" applyBorder="1" applyAlignment="1">
      <alignment horizontal="center" vertical="center"/>
    </xf>
    <xf numFmtId="167" fontId="0" fillId="2" borderId="25" xfId="0" applyNumberForma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0" fontId="0" fillId="2" borderId="36" xfId="0" applyNumberForma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0" fontId="0" fillId="0" borderId="8" xfId="0" applyBorder="1"/>
    <xf numFmtId="175" fontId="0" fillId="0" borderId="5" xfId="0" applyNumberFormat="1" applyBorder="1"/>
    <xf numFmtId="167" fontId="0" fillId="0" borderId="24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4" fontId="0" fillId="0" borderId="2" xfId="0" applyNumberFormat="1" applyBorder="1"/>
    <xf numFmtId="1" fontId="0" fillId="0" borderId="17" xfId="0" applyNumberFormat="1" applyBorder="1"/>
    <xf numFmtId="1" fontId="0" fillId="0" borderId="10" xfId="0" applyNumberFormat="1" applyBorder="1"/>
    <xf numFmtId="1" fontId="0" fillId="0" borderId="30" xfId="0" applyNumberFormat="1" applyBorder="1"/>
    <xf numFmtId="1" fontId="0" fillId="0" borderId="11" xfId="0" applyNumberFormat="1" applyBorder="1"/>
    <xf numFmtId="0" fontId="0" fillId="0" borderId="23" xfId="0" applyBorder="1" applyAlignment="1"/>
    <xf numFmtId="10" fontId="0" fillId="0" borderId="10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0" fillId="0" borderId="30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0" fontId="0" fillId="0" borderId="18" xfId="0" applyBorder="1"/>
    <xf numFmtId="0" fontId="0" fillId="0" borderId="20" xfId="0" applyBorder="1"/>
    <xf numFmtId="170" fontId="0" fillId="0" borderId="19" xfId="0" applyNumberFormat="1" applyBorder="1"/>
    <xf numFmtId="170" fontId="0" fillId="0" borderId="37" xfId="0" applyNumberFormat="1" applyBorder="1" applyAlignment="1">
      <alignment horizontal="center" vertical="center"/>
    </xf>
    <xf numFmtId="170" fontId="0" fillId="0" borderId="35" xfId="0" applyNumberFormat="1" applyBorder="1" applyAlignment="1">
      <alignment horizontal="center" vertical="center"/>
    </xf>
    <xf numFmtId="170" fontId="0" fillId="0" borderId="36" xfId="0" applyNumberFormat="1" applyBorder="1" applyAlignment="1">
      <alignment horizontal="center" vertical="center"/>
    </xf>
    <xf numFmtId="170" fontId="0" fillId="0" borderId="38" xfId="0" applyNumberFormat="1" applyBorder="1" applyAlignment="1">
      <alignment horizontal="center" vertical="center"/>
    </xf>
    <xf numFmtId="170" fontId="0" fillId="4" borderId="32" xfId="0" applyNumberFormat="1" applyFill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175" fontId="0" fillId="0" borderId="0" xfId="0" applyNumberFormat="1" applyBorder="1" applyAlignment="1">
      <alignment horizontal="center" vertical="center"/>
    </xf>
    <xf numFmtId="1" fontId="0" fillId="0" borderId="0" xfId="0" applyNumberFormat="1" applyBorder="1"/>
    <xf numFmtId="181" fontId="0" fillId="0" borderId="0" xfId="0" applyNumberFormat="1" applyBorder="1"/>
    <xf numFmtId="167" fontId="0" fillId="0" borderId="0" xfId="0" applyNumberFormat="1" applyFill="1" applyBorder="1"/>
    <xf numFmtId="0" fontId="0" fillId="0" borderId="0" xfId="0" applyFill="1" applyBorder="1"/>
    <xf numFmtId="0" fontId="0" fillId="0" borderId="31" xfId="0" applyFill="1" applyBorder="1" applyAlignment="1">
      <alignment horizontal="center" vertical="center"/>
    </xf>
    <xf numFmtId="175" fontId="0" fillId="0" borderId="3" xfId="0" applyNumberFormat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0" fontId="0" fillId="4" borderId="0" xfId="0" applyFill="1"/>
    <xf numFmtId="0" fontId="0" fillId="4" borderId="16" xfId="0" applyFill="1" applyBorder="1" applyAlignment="1">
      <alignment horizontal="center" vertical="center"/>
    </xf>
    <xf numFmtId="0" fontId="0" fillId="4" borderId="1" xfId="0" applyFill="1" applyBorder="1"/>
    <xf numFmtId="1" fontId="0" fillId="5" borderId="17" xfId="0" applyNumberFormat="1" applyFill="1" applyBorder="1" applyAlignment="1">
      <alignment horizontal="center" vertical="center"/>
    </xf>
    <xf numFmtId="1" fontId="0" fillId="5" borderId="19" xfId="0" applyNumberFormat="1" applyFill="1" applyBorder="1" applyAlignment="1">
      <alignment horizontal="center" vertical="center"/>
    </xf>
    <xf numFmtId="167" fontId="0" fillId="5" borderId="2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7" fontId="0" fillId="5" borderId="21" xfId="0" applyNumberFormat="1" applyFill="1" applyBorder="1" applyAlignment="1">
      <alignment horizontal="center" vertical="center"/>
    </xf>
    <xf numFmtId="167" fontId="0" fillId="5" borderId="22" xfId="0" applyNumberFormat="1" applyFill="1" applyBorder="1" applyAlignment="1">
      <alignment horizontal="center" vertical="center"/>
    </xf>
    <xf numFmtId="164" fontId="0" fillId="5" borderId="2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5" borderId="21" xfId="0" applyNumberFormat="1" applyFill="1" applyBorder="1" applyAlignment="1">
      <alignment horizontal="center" vertical="center"/>
    </xf>
    <xf numFmtId="2" fontId="0" fillId="5" borderId="22" xfId="0" applyNumberFormat="1" applyFill="1" applyBorder="1" applyAlignment="1">
      <alignment horizontal="center" vertical="center"/>
    </xf>
    <xf numFmtId="2" fontId="0" fillId="5" borderId="18" xfId="0" applyNumberFormat="1" applyFill="1" applyBorder="1" applyAlignment="1">
      <alignment horizontal="center" vertical="center"/>
    </xf>
    <xf numFmtId="2" fontId="0" fillId="5" borderId="20" xfId="0" applyNumberFormat="1" applyFill="1" applyBorder="1" applyAlignment="1">
      <alignment horizontal="center" vertical="center"/>
    </xf>
    <xf numFmtId="164" fontId="0" fillId="0" borderId="10" xfId="0" applyNumberFormat="1" applyFill="1" applyBorder="1"/>
    <xf numFmtId="164" fontId="0" fillId="0" borderId="11" xfId="0" applyNumberFormat="1" applyFill="1" applyBorder="1"/>
    <xf numFmtId="0" fontId="0" fillId="0" borderId="9" xfId="0" applyFill="1" applyBorder="1"/>
    <xf numFmtId="0" fontId="0" fillId="0" borderId="24" xfId="0" applyBorder="1"/>
    <xf numFmtId="164" fontId="0" fillId="0" borderId="24" xfId="0" applyNumberFormat="1" applyFill="1" applyBorder="1"/>
    <xf numFmtId="167" fontId="0" fillId="0" borderId="24" xfId="0" applyNumberFormat="1" applyFill="1" applyBorder="1"/>
    <xf numFmtId="167" fontId="0" fillId="6" borderId="24" xfId="0" applyNumberFormat="1" applyFill="1" applyBorder="1"/>
    <xf numFmtId="167" fontId="0" fillId="6" borderId="10" xfId="0" applyNumberFormat="1" applyFill="1" applyBorder="1"/>
    <xf numFmtId="167" fontId="0" fillId="6" borderId="25" xfId="0" applyNumberFormat="1" applyFill="1" applyBorder="1"/>
    <xf numFmtId="2" fontId="0" fillId="6" borderId="32" xfId="0" applyNumberFormat="1" applyFill="1" applyBorder="1" applyAlignment="1">
      <alignment horizontal="center" vertical="center"/>
    </xf>
    <xf numFmtId="2" fontId="0" fillId="6" borderId="26" xfId="0" applyNumberFormat="1" applyFill="1" applyBorder="1" applyAlignment="1">
      <alignment horizontal="center" vertical="center"/>
    </xf>
    <xf numFmtId="0" fontId="0" fillId="6" borderId="26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0" borderId="9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/>
    </xf>
    <xf numFmtId="170" fontId="0" fillId="0" borderId="49" xfId="0" applyNumberFormat="1" applyBorder="1"/>
    <xf numFmtId="0" fontId="0" fillId="0" borderId="50" xfId="0" applyBorder="1"/>
    <xf numFmtId="164" fontId="0" fillId="0" borderId="1" xfId="0" applyNumberFormat="1" applyBorder="1"/>
    <xf numFmtId="0" fontId="0" fillId="0" borderId="51" xfId="0" applyBorder="1"/>
    <xf numFmtId="164" fontId="0" fillId="0" borderId="13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6" xfId="0" applyNumberFormat="1" applyBorder="1"/>
    <xf numFmtId="2" fontId="0" fillId="0" borderId="18" xfId="0" applyNumberFormat="1" applyBorder="1"/>
    <xf numFmtId="2" fontId="0" fillId="0" borderId="20" xfId="0" applyNumberFormat="1" applyBorder="1"/>
    <xf numFmtId="164" fontId="0" fillId="0" borderId="17" xfId="0" applyNumberFormat="1" applyBorder="1"/>
    <xf numFmtId="164" fontId="0" fillId="0" borderId="21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2" xfId="0" applyNumberFormat="1" applyBorder="1"/>
    <xf numFmtId="164" fontId="0" fillId="0" borderId="20" xfId="0" applyNumberFormat="1" applyBorder="1"/>
    <xf numFmtId="170" fontId="0" fillId="0" borderId="0" xfId="0" applyNumberFormat="1" applyBorder="1"/>
    <xf numFmtId="164" fontId="0" fillId="0" borderId="17" xfId="0" applyNumberFormat="1" applyBorder="1" applyAlignment="1"/>
    <xf numFmtId="164" fontId="0" fillId="0" borderId="21" xfId="0" applyNumberFormat="1" applyBorder="1" applyAlignment="1"/>
    <xf numFmtId="164" fontId="0" fillId="0" borderId="18" xfId="0" applyNumberFormat="1" applyBorder="1" applyAlignment="1"/>
    <xf numFmtId="2" fontId="0" fillId="0" borderId="53" xfId="0" applyNumberFormat="1" applyBorder="1"/>
    <xf numFmtId="2" fontId="0" fillId="0" borderId="54" xfId="0" applyNumberFormat="1" applyBorder="1"/>
    <xf numFmtId="2" fontId="0" fillId="0" borderId="19" xfId="0" applyNumberFormat="1" applyBorder="1"/>
    <xf numFmtId="2" fontId="0" fillId="0" borderId="55" xfId="0" applyNumberFormat="1" applyBorder="1"/>
    <xf numFmtId="0" fontId="0" fillId="0" borderId="10" xfId="0" applyBorder="1" applyAlignment="1">
      <alignment horizontal="center" vertical="center"/>
    </xf>
    <xf numFmtId="2" fontId="0" fillId="0" borderId="35" xfId="0" applyNumberFormat="1" applyBorder="1"/>
    <xf numFmtId="183" fontId="0" fillId="0" borderId="24" xfId="0" applyNumberFormat="1" applyBorder="1" applyAlignment="1">
      <alignment horizontal="center" vertical="center"/>
    </xf>
    <xf numFmtId="183" fontId="0" fillId="0" borderId="10" xfId="0" applyNumberFormat="1" applyBorder="1" applyAlignment="1">
      <alignment horizontal="center" vertical="center"/>
    </xf>
    <xf numFmtId="183" fontId="0" fillId="0" borderId="11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/>
    <xf numFmtId="0" fontId="0" fillId="0" borderId="23" xfId="0" applyBorder="1" applyAlignment="1"/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69" fontId="0" fillId="0" borderId="24" xfId="0" applyNumberFormat="1" applyFill="1" applyBorder="1"/>
    <xf numFmtId="169" fontId="0" fillId="0" borderId="10" xfId="0" applyNumberFormat="1" applyFill="1" applyBorder="1"/>
    <xf numFmtId="169" fontId="0" fillId="0" borderId="25" xfId="0" applyNumberFormat="1" applyFill="1" applyBorder="1"/>
    <xf numFmtId="169" fontId="0" fillId="0" borderId="11" xfId="0" applyNumberFormat="1" applyFill="1" applyBorder="1"/>
    <xf numFmtId="1" fontId="0" fillId="0" borderId="24" xfId="0" applyNumberFormat="1" applyFill="1" applyBorder="1"/>
    <xf numFmtId="1" fontId="0" fillId="0" borderId="10" xfId="0" applyNumberFormat="1" applyFill="1" applyBorder="1"/>
    <xf numFmtId="3" fontId="0" fillId="0" borderId="26" xfId="0" applyNumberFormat="1" applyFill="1" applyBorder="1"/>
    <xf numFmtId="3" fontId="0" fillId="0" borderId="34" xfId="0" applyNumberFormat="1" applyFill="1" applyBorder="1"/>
    <xf numFmtId="2" fontId="0" fillId="0" borderId="26" xfId="0" applyNumberFormat="1" applyFill="1" applyBorder="1"/>
    <xf numFmtId="2" fontId="0" fillId="0" borderId="34" xfId="0" applyNumberFormat="1" applyFill="1" applyBorder="1"/>
    <xf numFmtId="0" fontId="0" fillId="7" borderId="9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Fuel Price</a:t>
            </a:r>
          </a:p>
        </c:rich>
      </c:tx>
      <c:layout>
        <c:manualLayout>
          <c:xMode val="edge"/>
          <c:yMode val="edge"/>
          <c:x val="0.45708376421923474"/>
          <c:y val="2.03389830508474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790072388831438E-2"/>
          <c:y val="0.12542372881355932"/>
          <c:w val="0.73112719751809718"/>
          <c:h val="0.764406779661017"/>
        </c:manualLayout>
      </c:layout>
      <c:scatterChart>
        <c:scatterStyle val="lineMarker"/>
        <c:ser>
          <c:idx val="1"/>
          <c:order val="0"/>
          <c:tx>
            <c:v>Diesel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Data!$F$13:$F$30</c:f>
              <c:numCache>
                <c:formatCode>"£"#,##0.000</c:formatCode>
                <c:ptCount val="18"/>
                <c:pt idx="0">
                  <c:v>1.429</c:v>
                </c:pt>
                <c:pt idx="1">
                  <c:v>1.419</c:v>
                </c:pt>
                <c:pt idx="2">
                  <c:v>1.419</c:v>
                </c:pt>
                <c:pt idx="3">
                  <c:v>1.409</c:v>
                </c:pt>
                <c:pt idx="4">
                  <c:v>1.419</c:v>
                </c:pt>
                <c:pt idx="5">
                  <c:v>1.409</c:v>
                </c:pt>
                <c:pt idx="6">
                  <c:v>1.409</c:v>
                </c:pt>
                <c:pt idx="7">
                  <c:v>1.399</c:v>
                </c:pt>
                <c:pt idx="8">
                  <c:v>1.419</c:v>
                </c:pt>
                <c:pt idx="9">
                  <c:v>1.4390000000000001</c:v>
                </c:pt>
                <c:pt idx="10">
                  <c:v>1.387</c:v>
                </c:pt>
                <c:pt idx="11">
                  <c:v>1.429</c:v>
                </c:pt>
                <c:pt idx="12">
                  <c:v>1.429</c:v>
                </c:pt>
                <c:pt idx="13">
                  <c:v>1.409</c:v>
                </c:pt>
                <c:pt idx="14">
                  <c:v>1.407</c:v>
                </c:pt>
                <c:pt idx="15">
                  <c:v>1.429</c:v>
                </c:pt>
                <c:pt idx="16">
                  <c:v>1.4590000000000001</c:v>
                </c:pt>
                <c:pt idx="17">
                  <c:v>1.4690000000000001</c:v>
                </c:pt>
              </c:numCache>
            </c:numRef>
          </c:yVal>
        </c:ser>
        <c:ser>
          <c:idx val="0"/>
          <c:order val="1"/>
          <c:tx>
            <c:v>Veg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0.22030860930387838"/>
                  <c:y val="-5.0344944170114335E-2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elete val="1"/>
          </c:dLbls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Data!$G$13:$G$30</c:f>
              <c:numCache>
                <c:formatCode>"£"#,##0.000</c:formatCode>
                <c:ptCount val="18"/>
                <c:pt idx="0">
                  <c:v>0.93783333333333319</c:v>
                </c:pt>
                <c:pt idx="1">
                  <c:v>0.93783333333333319</c:v>
                </c:pt>
                <c:pt idx="2">
                  <c:v>0.93783333333333319</c:v>
                </c:pt>
                <c:pt idx="3">
                  <c:v>0.93783333333333319</c:v>
                </c:pt>
                <c:pt idx="4">
                  <c:v>0.93783333333333319</c:v>
                </c:pt>
                <c:pt idx="5">
                  <c:v>0.93783333333333319</c:v>
                </c:pt>
                <c:pt idx="6">
                  <c:v>0.93783333333333319</c:v>
                </c:pt>
                <c:pt idx="7">
                  <c:v>0.93783333333333319</c:v>
                </c:pt>
                <c:pt idx="8">
                  <c:v>0.93783333333333319</c:v>
                </c:pt>
                <c:pt idx="9">
                  <c:v>0.93783333333333319</c:v>
                </c:pt>
                <c:pt idx="10">
                  <c:v>0.93783333333333319</c:v>
                </c:pt>
                <c:pt idx="11">
                  <c:v>0.93783333333333319</c:v>
                </c:pt>
                <c:pt idx="12">
                  <c:v>0.93783333333333319</c:v>
                </c:pt>
                <c:pt idx="13">
                  <c:v>0.93783333333333319</c:v>
                </c:pt>
                <c:pt idx="14">
                  <c:v>0.93783333333333319</c:v>
                </c:pt>
                <c:pt idx="15">
                  <c:v>0.93783333333333319</c:v>
                </c:pt>
                <c:pt idx="16">
                  <c:v>0.93783333333333319</c:v>
                </c:pt>
                <c:pt idx="17">
                  <c:v>0.93783333333333319</c:v>
                </c:pt>
              </c:numCache>
            </c:numRef>
          </c:yVal>
        </c:ser>
        <c:ser>
          <c:idx val="3"/>
          <c:order val="2"/>
          <c:tx>
            <c:v>Diesel Average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8273856150607859"/>
                  <c:y val="0.21249646336580816"/>
                </c:manualLayout>
              </c:layout>
              <c:numFmt formatCode="\£#,##0.00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elete val="1"/>
          </c:dLbls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Data!$Y$13:$Y$30</c:f>
              <c:numCache>
                <c:formatCode>"£"#,##0.000</c:formatCode>
                <c:ptCount val="18"/>
                <c:pt idx="0">
                  <c:v>1.4239999999999999</c:v>
                </c:pt>
                <c:pt idx="1">
                  <c:v>1.4223333333333332</c:v>
                </c:pt>
                <c:pt idx="2">
                  <c:v>1.4189999999999998</c:v>
                </c:pt>
                <c:pt idx="3">
                  <c:v>1.4189999999999998</c:v>
                </c:pt>
                <c:pt idx="4">
                  <c:v>1.4173333333333333</c:v>
                </c:pt>
                <c:pt idx="5">
                  <c:v>1.4161428571428571</c:v>
                </c:pt>
                <c:pt idx="6">
                  <c:v>1.4140000000000001</c:v>
                </c:pt>
                <c:pt idx="7">
                  <c:v>1.4145555555555558</c:v>
                </c:pt>
                <c:pt idx="8">
                  <c:v>1.4170000000000003</c:v>
                </c:pt>
                <c:pt idx="9">
                  <c:v>1.4142727272727276</c:v>
                </c:pt>
                <c:pt idx="10">
                  <c:v>1.4155</c:v>
                </c:pt>
                <c:pt idx="11">
                  <c:v>1.4165384615384615</c:v>
                </c:pt>
                <c:pt idx="12">
                  <c:v>1.4159999999999999</c:v>
                </c:pt>
                <c:pt idx="13">
                  <c:v>1.4153999999999998</c:v>
                </c:pt>
                <c:pt idx="14">
                  <c:v>1.4162499999999998</c:v>
                </c:pt>
                <c:pt idx="15">
                  <c:v>1.4187647058823527</c:v>
                </c:pt>
                <c:pt idx="16">
                  <c:v>1.4215555555555555</c:v>
                </c:pt>
                <c:pt idx="17">
                  <c:v>1.4215555555555555</c:v>
                </c:pt>
              </c:numCache>
            </c:numRef>
          </c:yVal>
        </c:ser>
        <c:ser>
          <c:idx val="4"/>
          <c:order val="3"/>
          <c:tx>
            <c:v>Min</c:v>
          </c:tx>
          <c:spPr>
            <a:ln w="28575">
              <a:noFill/>
            </a:ln>
          </c:spPr>
          <c:marker>
            <c:symbol val="circle"/>
            <c:size val="1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0"/>
              <c:layout>
                <c:manualLayout>
                  <c:x val="-3.6003875937431318E-2"/>
                  <c:y val="4.3244272432047641E-2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Data!$AH$13:$AH$51</c:f>
              <c:numCache>
                <c:formatCode>"£"#,##0.000</c:formatCode>
                <c:ptCount val="3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1.387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</c:numCache>
            </c:numRef>
          </c:yVal>
        </c:ser>
        <c:ser>
          <c:idx val="5"/>
          <c:order val="4"/>
          <c:tx>
            <c:v>Max</c:v>
          </c:tx>
          <c:spPr>
            <a:ln w="28575">
              <a:noFill/>
            </a:ln>
          </c:spPr>
          <c:marker>
            <c:symbol val="circle"/>
            <c:size val="1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7"/>
              <c:layout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Val val="1"/>
            </c:dLbl>
            <c:delete val="1"/>
          </c:dLbls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Data!$AG$13:$AG$51</c:f>
              <c:numCache>
                <c:formatCode>"£"#,##0.000</c:formatCode>
                <c:ptCount val="3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1.4690000000000001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</c:numCache>
            </c:numRef>
          </c:yVal>
        </c:ser>
        <c:axId val="109811584"/>
        <c:axId val="109826048"/>
      </c:scatterChart>
      <c:valAx>
        <c:axId val="10981158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364012409513961"/>
              <c:y val="0.94237288135593222"/>
            </c:manualLayout>
          </c:layout>
          <c:spPr>
            <a:noFill/>
            <a:ln w="25400">
              <a:noFill/>
            </a:ln>
          </c:spPr>
        </c:title>
        <c:numFmt formatCode="dd/mm/yy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826048"/>
        <c:crosses val="autoZero"/>
        <c:crossBetween val="midCat"/>
      </c:valAx>
      <c:valAx>
        <c:axId val="109826048"/>
        <c:scaling>
          <c:orientation val="minMax"/>
          <c:max val="1.609"/>
          <c:min val="0.809000000000000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(£)</a:t>
                </a:r>
              </a:p>
            </c:rich>
          </c:tx>
          <c:layout>
            <c:manualLayout>
              <c:xMode val="edge"/>
              <c:yMode val="edge"/>
              <c:x val="1.1375387797311272E-2"/>
              <c:y val="0.45932203389830506"/>
            </c:manualLayout>
          </c:layout>
          <c:spPr>
            <a:noFill/>
            <a:ln w="25400">
              <a:noFill/>
            </a:ln>
          </c:spPr>
        </c:title>
        <c:numFmt formatCode="\£#,##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8115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556359875904865"/>
          <c:y val="0.41864406779661018"/>
          <c:w val="0.13029989658738367"/>
          <c:h val="0.1796610169491525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Fuel Price</a:t>
            </a:r>
          </a:p>
        </c:rich>
      </c:tx>
      <c:layout>
        <c:manualLayout>
          <c:xMode val="edge"/>
          <c:yMode val="edge"/>
          <c:x val="0.45708376421923474"/>
          <c:y val="2.03389830508474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790072388831438E-2"/>
          <c:y val="0.12542372881355932"/>
          <c:w val="0.73112719751809718"/>
          <c:h val="0.764406779661017"/>
        </c:manualLayout>
      </c:layout>
      <c:scatterChart>
        <c:scatterStyle val="lineMarker"/>
        <c:ser>
          <c:idx val="1"/>
          <c:order val="0"/>
          <c:tx>
            <c:v>Diesel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name>Price Trend</c:nam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Data!$F$13:$F$30</c:f>
              <c:numCache>
                <c:formatCode>"£"#,##0.000</c:formatCode>
                <c:ptCount val="18"/>
                <c:pt idx="0">
                  <c:v>1.429</c:v>
                </c:pt>
                <c:pt idx="1">
                  <c:v>1.419</c:v>
                </c:pt>
                <c:pt idx="2">
                  <c:v>1.419</c:v>
                </c:pt>
                <c:pt idx="3">
                  <c:v>1.409</c:v>
                </c:pt>
                <c:pt idx="4">
                  <c:v>1.419</c:v>
                </c:pt>
                <c:pt idx="5">
                  <c:v>1.409</c:v>
                </c:pt>
                <c:pt idx="6">
                  <c:v>1.409</c:v>
                </c:pt>
                <c:pt idx="7">
                  <c:v>1.399</c:v>
                </c:pt>
                <c:pt idx="8">
                  <c:v>1.419</c:v>
                </c:pt>
                <c:pt idx="9">
                  <c:v>1.4390000000000001</c:v>
                </c:pt>
                <c:pt idx="10">
                  <c:v>1.387</c:v>
                </c:pt>
                <c:pt idx="11">
                  <c:v>1.429</c:v>
                </c:pt>
                <c:pt idx="12">
                  <c:v>1.429</c:v>
                </c:pt>
                <c:pt idx="13">
                  <c:v>1.409</c:v>
                </c:pt>
                <c:pt idx="14">
                  <c:v>1.407</c:v>
                </c:pt>
                <c:pt idx="15">
                  <c:v>1.429</c:v>
                </c:pt>
                <c:pt idx="16">
                  <c:v>1.4590000000000001</c:v>
                </c:pt>
                <c:pt idx="17">
                  <c:v>1.4690000000000001</c:v>
                </c:pt>
              </c:numCache>
            </c:numRef>
          </c:yVal>
        </c:ser>
        <c:ser>
          <c:idx val="3"/>
          <c:order val="1"/>
          <c:tx>
            <c:v>Diesel Average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Data!$Y$13:$Y$30</c:f>
              <c:numCache>
                <c:formatCode>"£"#,##0.000</c:formatCode>
                <c:ptCount val="18"/>
                <c:pt idx="0">
                  <c:v>1.4239999999999999</c:v>
                </c:pt>
                <c:pt idx="1">
                  <c:v>1.4223333333333332</c:v>
                </c:pt>
                <c:pt idx="2">
                  <c:v>1.4189999999999998</c:v>
                </c:pt>
                <c:pt idx="3">
                  <c:v>1.4189999999999998</c:v>
                </c:pt>
                <c:pt idx="4">
                  <c:v>1.4173333333333333</c:v>
                </c:pt>
                <c:pt idx="5">
                  <c:v>1.4161428571428571</c:v>
                </c:pt>
                <c:pt idx="6">
                  <c:v>1.4140000000000001</c:v>
                </c:pt>
                <c:pt idx="7">
                  <c:v>1.4145555555555558</c:v>
                </c:pt>
                <c:pt idx="8">
                  <c:v>1.4170000000000003</c:v>
                </c:pt>
                <c:pt idx="9">
                  <c:v>1.4142727272727276</c:v>
                </c:pt>
                <c:pt idx="10">
                  <c:v>1.4155</c:v>
                </c:pt>
                <c:pt idx="11">
                  <c:v>1.4165384615384615</c:v>
                </c:pt>
                <c:pt idx="12">
                  <c:v>1.4159999999999999</c:v>
                </c:pt>
                <c:pt idx="13">
                  <c:v>1.4153999999999998</c:v>
                </c:pt>
                <c:pt idx="14">
                  <c:v>1.4162499999999998</c:v>
                </c:pt>
                <c:pt idx="15">
                  <c:v>1.4187647058823527</c:v>
                </c:pt>
                <c:pt idx="16">
                  <c:v>1.4215555555555555</c:v>
                </c:pt>
                <c:pt idx="17">
                  <c:v>1.4215555555555555</c:v>
                </c:pt>
              </c:numCache>
            </c:numRef>
          </c:yVal>
        </c:ser>
        <c:ser>
          <c:idx val="0"/>
          <c:order val="2"/>
          <c:tx>
            <c:v>Month Average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mmm\-yy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CatName val="1"/>
          </c:dLbls>
          <c:xVal>
            <c:numRef>
              <c:f>(Data!$A$18,Data!$A$22,Data!$A$26,Data!$A$30)</c:f>
              <c:numCache>
                <c:formatCode>[$-F800]dddd\,\ mmmm\ dd\,\ yyyy</c:formatCode>
                <c:ptCount val="4"/>
                <c:pt idx="0">
                  <c:v>40905.475694444445</c:v>
                </c:pt>
                <c:pt idx="1">
                  <c:v>40938.529166666667</c:v>
                </c:pt>
                <c:pt idx="2">
                  <c:v>40966.727777777778</c:v>
                </c:pt>
                <c:pt idx="3">
                  <c:v>40993.867361111108</c:v>
                </c:pt>
              </c:numCache>
            </c:numRef>
          </c:xVal>
          <c:yVal>
            <c:numRef>
              <c:f>(Data!$Q$18,Data!$Q$22,Data!$Q$26,Data!$Q$30)</c:f>
              <c:numCache>
                <c:formatCode>"£"#,##0.000</c:formatCode>
                <c:ptCount val="4"/>
                <c:pt idx="0">
                  <c:v>1.4139999999999999</c:v>
                </c:pt>
                <c:pt idx="1">
                  <c:v>1.4165000000000001</c:v>
                </c:pt>
                <c:pt idx="2">
                  <c:v>1.4135</c:v>
                </c:pt>
                <c:pt idx="3">
                  <c:v>1.4410000000000001</c:v>
                </c:pt>
              </c:numCache>
            </c:numRef>
          </c:yVal>
        </c:ser>
        <c:axId val="109720320"/>
        <c:axId val="109722240"/>
      </c:scatterChart>
      <c:valAx>
        <c:axId val="10972032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364012409513961"/>
              <c:y val="0.94237288135593222"/>
            </c:manualLayout>
          </c:layout>
          <c:spPr>
            <a:noFill/>
            <a:ln w="25400">
              <a:noFill/>
            </a:ln>
          </c:spPr>
        </c:title>
        <c:numFmt formatCode="dd/mm/yy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722240"/>
        <c:crosses val="autoZero"/>
        <c:crossBetween val="midCat"/>
      </c:valAx>
      <c:valAx>
        <c:axId val="109722240"/>
        <c:scaling>
          <c:orientation val="minMax"/>
          <c:min val="1.379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(£)</a:t>
                </a:r>
              </a:p>
            </c:rich>
          </c:tx>
          <c:layout>
            <c:manualLayout>
              <c:xMode val="edge"/>
              <c:yMode val="edge"/>
              <c:x val="1.1375387797311272E-2"/>
              <c:y val="0.45932203389830506"/>
            </c:manualLayout>
          </c:layout>
          <c:spPr>
            <a:noFill/>
            <a:ln w="25400">
              <a:noFill/>
            </a:ln>
          </c:spPr>
        </c:title>
        <c:numFmt formatCode="\£#,##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7203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556359875904865"/>
          <c:y val="0.43559322033898307"/>
          <c:w val="0.13029989658738367"/>
          <c:h val="0.14406779661016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Spend</a:t>
            </a:r>
          </a:p>
        </c:rich>
      </c:tx>
      <c:layout>
        <c:manualLayout>
          <c:xMode val="edge"/>
          <c:yMode val="edge"/>
          <c:x val="0.44881075491209926"/>
          <c:y val="2.03389830508474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525336091003107E-2"/>
          <c:y val="0.12542372881355932"/>
          <c:w val="0.79420889348500512"/>
          <c:h val="0.76271186440677963"/>
        </c:manualLayout>
      </c:layout>
      <c:scatterChart>
        <c:scatterStyle val="lineMarker"/>
        <c:ser>
          <c:idx val="1"/>
          <c:order val="0"/>
          <c:tx>
            <c:v>Diesel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Data!$L$13:$L$30</c:f>
              <c:numCache>
                <c:formatCode>"£"#,##0.00</c:formatCode>
                <c:ptCount val="18"/>
                <c:pt idx="0">
                  <c:v>81.795960000000008</c:v>
                </c:pt>
                <c:pt idx="1">
                  <c:v>74.156940000000006</c:v>
                </c:pt>
                <c:pt idx="2">
                  <c:v>73.830570000000009</c:v>
                </c:pt>
                <c:pt idx="3">
                  <c:v>79.28443</c:v>
                </c:pt>
                <c:pt idx="4">
                  <c:v>74.852249999999998</c:v>
                </c:pt>
                <c:pt idx="5">
                  <c:v>71.760369999999995</c:v>
                </c:pt>
                <c:pt idx="6">
                  <c:v>80.200280000000006</c:v>
                </c:pt>
                <c:pt idx="7">
                  <c:v>84.681470000000004</c:v>
                </c:pt>
                <c:pt idx="8">
                  <c:v>77.491590000000002</c:v>
                </c:pt>
                <c:pt idx="9">
                  <c:v>88.2299826</c:v>
                </c:pt>
                <c:pt idx="10">
                  <c:v>78.504199999999997</c:v>
                </c:pt>
                <c:pt idx="11">
                  <c:v>75.82274000000001</c:v>
                </c:pt>
                <c:pt idx="12">
                  <c:v>76.537240000000011</c:v>
                </c:pt>
                <c:pt idx="13">
                  <c:v>65.025350000000003</c:v>
                </c:pt>
                <c:pt idx="14">
                  <c:v>78.271410000000003</c:v>
                </c:pt>
                <c:pt idx="15">
                  <c:v>80.066870000000009</c:v>
                </c:pt>
                <c:pt idx="16">
                  <c:v>80.551390000000012</c:v>
                </c:pt>
                <c:pt idx="17">
                  <c:v>80.001740000000012</c:v>
                </c:pt>
              </c:numCache>
            </c:numRef>
          </c:yVal>
        </c:ser>
        <c:ser>
          <c:idx val="0"/>
          <c:order val="1"/>
          <c:tx>
            <c:v>Veg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Data!$M$13:$M$30</c:f>
              <c:numCache>
                <c:formatCode>"£"#,##0.00</c:formatCode>
                <c:ptCount val="18"/>
                <c:pt idx="0">
                  <c:v>53.681579999999997</c:v>
                </c:pt>
                <c:pt idx="1">
                  <c:v>49.011169999999993</c:v>
                </c:pt>
                <c:pt idx="2">
                  <c:v>48.795468333333325</c:v>
                </c:pt>
                <c:pt idx="3">
                  <c:v>52.771881666666658</c:v>
                </c:pt>
                <c:pt idx="4">
                  <c:v>49.470708333333327</c:v>
                </c:pt>
                <c:pt idx="5">
                  <c:v>47.76385166666666</c:v>
                </c:pt>
                <c:pt idx="6">
                  <c:v>53.381473333333325</c:v>
                </c:pt>
                <c:pt idx="7">
                  <c:v>56.76705166666666</c:v>
                </c:pt>
                <c:pt idx="8">
                  <c:v>51.215078333333324</c:v>
                </c:pt>
                <c:pt idx="9">
                  <c:v>57.501750299999991</c:v>
                </c:pt>
                <c:pt idx="10">
                  <c:v>53.081366666666661</c:v>
                </c:pt>
                <c:pt idx="11">
                  <c:v>49.761436666666661</c:v>
                </c:pt>
                <c:pt idx="12">
                  <c:v>50.230353333333326</c:v>
                </c:pt>
                <c:pt idx="13">
                  <c:v>43.281008333333325</c:v>
                </c:pt>
                <c:pt idx="14">
                  <c:v>52.171668333333329</c:v>
                </c:pt>
                <c:pt idx="15">
                  <c:v>52.54680166666666</c:v>
                </c:pt>
                <c:pt idx="16">
                  <c:v>51.777778333333323</c:v>
                </c:pt>
                <c:pt idx="17">
                  <c:v>51.074403333333329</c:v>
                </c:pt>
              </c:numCache>
            </c:numRef>
          </c:yVal>
        </c:ser>
        <c:ser>
          <c:idx val="2"/>
          <c:order val="2"/>
          <c:tx>
            <c:v>Max Price</c:v>
          </c:tx>
          <c:spPr>
            <a:ln w="28575">
              <a:noFill/>
            </a:ln>
          </c:spPr>
          <c:marker>
            <c:symbol val="circle"/>
            <c:size val="1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Data!$AE$13:$AE$30</c:f>
              <c:numCache>
                <c:formatCode>"£"#,##0.00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80.001740000000012</c:v>
                </c:pt>
              </c:numCache>
            </c:numRef>
          </c:yVal>
        </c:ser>
        <c:ser>
          <c:idx val="3"/>
          <c:order val="3"/>
          <c:tx>
            <c:v>Min Price</c:v>
          </c:tx>
          <c:spPr>
            <a:ln w="28575">
              <a:noFill/>
            </a:ln>
          </c:spPr>
          <c:marker>
            <c:symbol val="circle"/>
            <c:size val="1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Data!$AF$13:$AF$30</c:f>
              <c:numCache>
                <c:formatCode>"£"#,##0.00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78.504199999999997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yVal>
        </c:ser>
        <c:axId val="110145536"/>
        <c:axId val="110147840"/>
      </c:scatterChart>
      <c:valAx>
        <c:axId val="1101455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5708376421923474"/>
              <c:y val="0.94067796610169496"/>
            </c:manualLayout>
          </c:layout>
          <c:spPr>
            <a:noFill/>
            <a:ln w="25400">
              <a:noFill/>
            </a:ln>
          </c:spPr>
        </c:title>
        <c:numFmt formatCode="dd/mm/yy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147840"/>
        <c:crosses val="autoZero"/>
        <c:crossBetween val="midCat"/>
      </c:valAx>
      <c:valAx>
        <c:axId val="1101478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Spent (£)</a:t>
                </a:r>
              </a:p>
            </c:rich>
          </c:tx>
          <c:layout>
            <c:manualLayout>
              <c:xMode val="edge"/>
              <c:yMode val="edge"/>
              <c:x val="1.1375387797311272E-2"/>
              <c:y val="0.45593220338983048"/>
            </c:manualLayout>
          </c:layout>
          <c:spPr>
            <a:noFill/>
            <a:ln w="25400">
              <a:noFill/>
            </a:ln>
          </c:spPr>
        </c:title>
        <c:numFmt formatCode="\£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145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48500517063079"/>
          <c:y val="0.4457627118644068"/>
          <c:w val="0.10237849017580145"/>
          <c:h val="0.14406779661016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Monthly Spend</a:t>
            </a:r>
          </a:p>
        </c:rich>
      </c:tx>
      <c:layout>
        <c:manualLayout>
          <c:xMode val="edge"/>
          <c:yMode val="edge"/>
          <c:x val="0.43743536711478803"/>
          <c:y val="2.03389830508474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139607032057913E-2"/>
          <c:y val="0.12542372881355932"/>
          <c:w val="0.73422957600827299"/>
          <c:h val="0.764406779661017"/>
        </c:manualLayout>
      </c:layout>
      <c:scatterChart>
        <c:scatterStyle val="lineMarker"/>
        <c:ser>
          <c:idx val="1"/>
          <c:order val="0"/>
          <c:tx>
            <c:v>Diesel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CCFF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xVal>
            <c:numRef>
              <c:f>(Data!$O$18,Data!$O$22,Data!$O$26,Data!$O$30)</c:f>
              <c:numCache>
                <c:formatCode>mmm\-yy</c:formatCode>
                <c:ptCount val="4"/>
                <c:pt idx="0">
                  <c:v>40906</c:v>
                </c:pt>
                <c:pt idx="1">
                  <c:v>40937</c:v>
                </c:pt>
                <c:pt idx="2">
                  <c:v>40967</c:v>
                </c:pt>
                <c:pt idx="3">
                  <c:v>40997</c:v>
                </c:pt>
              </c:numCache>
            </c:numRef>
          </c:xVal>
          <c:yVal>
            <c:numRef>
              <c:f>(Data!$T$18,Data!$T$22,Data!$T$26,Data!$T$30)</c:f>
              <c:numCache>
                <c:formatCode>"£"#,##0.00</c:formatCode>
                <c:ptCount val="4"/>
                <c:pt idx="0">
                  <c:v>299.72762</c:v>
                </c:pt>
                <c:pt idx="1">
                  <c:v>330.60332260000001</c:v>
                </c:pt>
                <c:pt idx="2">
                  <c:v>295.88953000000004</c:v>
                </c:pt>
                <c:pt idx="3">
                  <c:v>318.89141000000006</c:v>
                </c:pt>
              </c:numCache>
            </c:numRef>
          </c:yVal>
        </c:ser>
        <c:ser>
          <c:idx val="3"/>
          <c:order val="1"/>
          <c:tx>
            <c:v>Diesel Average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15988817323377494"/>
                  <c:y val="2.6729836736509638E-2"/>
                </c:manualLayout>
              </c:layout>
              <c:numFmt formatCode="\£#,##0.0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elete val="1"/>
          </c:dLbls>
          <c:xVal>
            <c:numRef>
              <c:f>(Data!$O$18,Data!$O$30)</c:f>
              <c:numCache>
                <c:formatCode>mmm\-yy</c:formatCode>
                <c:ptCount val="2"/>
                <c:pt idx="0">
                  <c:v>40906</c:v>
                </c:pt>
                <c:pt idx="1">
                  <c:v>40997</c:v>
                </c:pt>
              </c:numCache>
            </c:numRef>
          </c:xVal>
          <c:yVal>
            <c:numRef>
              <c:f>(Data!$AB$18,Data!$AB$30)</c:f>
              <c:numCache>
                <c:formatCode>"£"#,##0.00</c:formatCode>
                <c:ptCount val="2"/>
                <c:pt idx="0">
                  <c:v>311.27797065000004</c:v>
                </c:pt>
                <c:pt idx="1">
                  <c:v>311.27797065000004</c:v>
                </c:pt>
              </c:numCache>
            </c:numRef>
          </c:yVal>
        </c:ser>
        <c:ser>
          <c:idx val="0"/>
          <c:order val="2"/>
          <c:tx>
            <c:v>Veg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4.1938294424675789E-2"/>
                  <c:y val="3.5824191467591929E-2"/>
                </c:manualLayout>
              </c:layout>
              <c:dLblPos val="r"/>
              <c:showVal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xVal>
            <c:numRef>
              <c:f>(Data!$O$18,Data!$O$22,Data!$O$26,Data!$O$30)</c:f>
              <c:numCache>
                <c:formatCode>mmm\-yy</c:formatCode>
                <c:ptCount val="4"/>
                <c:pt idx="0">
                  <c:v>40906</c:v>
                </c:pt>
                <c:pt idx="1">
                  <c:v>40937</c:v>
                </c:pt>
                <c:pt idx="2">
                  <c:v>40967</c:v>
                </c:pt>
                <c:pt idx="3">
                  <c:v>40997</c:v>
                </c:pt>
              </c:numCache>
            </c:numRef>
          </c:xVal>
          <c:yVal>
            <c:numRef>
              <c:f>(Data!$U$18,Data!$U$22,Data!$U$26,Data!$U$30)</c:f>
              <c:numCache>
                <c:formatCode>"£"#,##0.00</c:formatCode>
                <c:ptCount val="4"/>
                <c:pt idx="0">
                  <c:v>198.80190999999996</c:v>
                </c:pt>
                <c:pt idx="1">
                  <c:v>218.86535363333329</c:v>
                </c:pt>
                <c:pt idx="2">
                  <c:v>196.35416499999997</c:v>
                </c:pt>
                <c:pt idx="3">
                  <c:v>207.57065166666663</c:v>
                </c:pt>
              </c:numCache>
            </c:numRef>
          </c:yVal>
        </c:ser>
        <c:ser>
          <c:idx val="2"/>
          <c:order val="3"/>
          <c:tx>
            <c:v>Veg Average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16505880405073461"/>
                  <c:y val="2.5994394768450533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spPr>
              <a:solidFill>
                <a:srgbClr val="FFFFFF"/>
              </a:solidFill>
              <a:ln w="3175">
                <a:solidFill>
                  <a:srgbClr val="00FF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xVal>
            <c:numRef>
              <c:f>(Data!$O$18,Data!$O$30)</c:f>
              <c:numCache>
                <c:formatCode>mmm\-yy</c:formatCode>
                <c:ptCount val="2"/>
                <c:pt idx="0">
                  <c:v>40906</c:v>
                </c:pt>
                <c:pt idx="1">
                  <c:v>40997</c:v>
                </c:pt>
              </c:numCache>
            </c:numRef>
          </c:xVal>
          <c:yVal>
            <c:numRef>
              <c:f>(Data!$AC$18,Data!$AC$30)</c:f>
              <c:numCache>
                <c:formatCode>"£"#,##0.00</c:formatCode>
                <c:ptCount val="2"/>
                <c:pt idx="0">
                  <c:v>205.39802007499998</c:v>
                </c:pt>
                <c:pt idx="1">
                  <c:v>205.39802007499998</c:v>
                </c:pt>
              </c:numCache>
            </c:numRef>
          </c:yVal>
        </c:ser>
        <c:ser>
          <c:idx val="4"/>
          <c:order val="4"/>
          <c:tx>
            <c:v>Saving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053226283632859E-2"/>
                  <c:y val="-4.9632812847546524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9870042097891918E-2"/>
                  <c:y val="-3.7099337159126285E-2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FF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spPr>
              <a:solidFill>
                <a:srgbClr val="FFFFFF"/>
              </a:solidFill>
              <a:ln w="12700">
                <a:solidFill>
                  <a:srgbClr val="FF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xVal>
            <c:numRef>
              <c:f>(Data!$O$18,Data!$O$22,Data!$O$26,Data!$O$30)</c:f>
              <c:numCache>
                <c:formatCode>mmm\-yy</c:formatCode>
                <c:ptCount val="4"/>
                <c:pt idx="0">
                  <c:v>40906</c:v>
                </c:pt>
                <c:pt idx="1">
                  <c:v>40937</c:v>
                </c:pt>
                <c:pt idx="2">
                  <c:v>40967</c:v>
                </c:pt>
                <c:pt idx="3">
                  <c:v>40997</c:v>
                </c:pt>
              </c:numCache>
            </c:numRef>
          </c:xVal>
          <c:yVal>
            <c:numRef>
              <c:f>(Data!$V$18,Data!$V$22,Data!$V$26,Data!$V$30)</c:f>
              <c:numCache>
                <c:formatCode>"£"#,##0.00</c:formatCode>
                <c:ptCount val="4"/>
                <c:pt idx="0">
                  <c:v>100.92571000000004</c:v>
                </c:pt>
                <c:pt idx="1">
                  <c:v>111.73796896666673</c:v>
                </c:pt>
                <c:pt idx="2">
                  <c:v>99.53536500000007</c:v>
                </c:pt>
                <c:pt idx="3">
                  <c:v>111.32075833333343</c:v>
                </c:pt>
              </c:numCache>
            </c:numRef>
          </c:yVal>
        </c:ser>
        <c:ser>
          <c:idx val="5"/>
          <c:order val="5"/>
          <c:tx>
            <c:v>Average Saving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1557516685802072"/>
                  <c:y val="2.7289114284443288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spPr>
              <a:solidFill>
                <a:srgbClr val="FFFFFF"/>
              </a:solidFill>
              <a:ln w="3175">
                <a:solidFill>
                  <a:srgbClr val="FF00FF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Val val="1"/>
          </c:dLbls>
          <c:xVal>
            <c:numRef>
              <c:f>(Data!$O$18,Data!$O$30)</c:f>
              <c:numCache>
                <c:formatCode>mmm\-yy</c:formatCode>
                <c:ptCount val="2"/>
                <c:pt idx="0">
                  <c:v>40906</c:v>
                </c:pt>
                <c:pt idx="1">
                  <c:v>40997</c:v>
                </c:pt>
              </c:numCache>
            </c:numRef>
          </c:xVal>
          <c:yVal>
            <c:numRef>
              <c:f>(Data!$AD$18,Data!$AD$30)</c:f>
              <c:numCache>
                <c:formatCode>"£"#,##0.00</c:formatCode>
                <c:ptCount val="2"/>
                <c:pt idx="0">
                  <c:v>105.87995057500007</c:v>
                </c:pt>
                <c:pt idx="1">
                  <c:v>105.87995057500007</c:v>
                </c:pt>
              </c:numCache>
            </c:numRef>
          </c:yVal>
        </c:ser>
        <c:axId val="110058496"/>
        <c:axId val="110077056"/>
      </c:scatterChart>
      <c:valAx>
        <c:axId val="110058496"/>
        <c:scaling>
          <c:orientation val="minMax"/>
          <c:min val="40876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4570837642192346"/>
              <c:y val="0.94237288135593222"/>
            </c:manualLayout>
          </c:layout>
          <c:spPr>
            <a:noFill/>
            <a:ln w="25400">
              <a:noFill/>
            </a:ln>
          </c:spPr>
        </c:title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77056"/>
        <c:crosses val="autoZero"/>
        <c:crossBetween val="midCat"/>
        <c:majorUnit val="30.4166667"/>
      </c:valAx>
      <c:valAx>
        <c:axId val="110077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Spent (£)</a:t>
                </a:r>
              </a:p>
            </c:rich>
          </c:tx>
          <c:layout>
            <c:manualLayout>
              <c:xMode val="edge"/>
              <c:yMode val="edge"/>
              <c:x val="1.1375387797311272E-2"/>
              <c:y val="0.45593220338983048"/>
            </c:manualLayout>
          </c:layout>
          <c:spPr>
            <a:noFill/>
            <a:ln w="25400">
              <a:noFill/>
            </a:ln>
          </c:spPr>
        </c:title>
        <c:numFmt formatCode="\£#,##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584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49534643226478"/>
          <c:y val="0.4"/>
          <c:w val="0.13236814891416754"/>
          <c:h val="0.2152542372881355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MPG</a:t>
            </a:r>
          </a:p>
        </c:rich>
      </c:tx>
      <c:layout>
        <c:manualLayout>
          <c:xMode val="edge"/>
          <c:yMode val="edge"/>
          <c:x val="0.47776628748707345"/>
          <c:y val="2.03389830508474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320579110651496E-2"/>
          <c:y val="0.12542372881355932"/>
          <c:w val="0.79007238883143749"/>
          <c:h val="0.764406779661017"/>
        </c:manualLayout>
      </c:layout>
      <c:scatterChart>
        <c:scatterStyle val="lineMarker"/>
        <c:ser>
          <c:idx val="1"/>
          <c:order val="0"/>
          <c:tx>
            <c:v>MPG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Data!$A$14:$A$30</c:f>
              <c:numCache>
                <c:formatCode>[$-F800]dddd\,\ mmmm\ dd\,\ yyyy</c:formatCode>
                <c:ptCount val="17"/>
                <c:pt idx="0">
                  <c:v>40875.908333333333</c:v>
                </c:pt>
                <c:pt idx="1">
                  <c:v>40881.677083333336</c:v>
                </c:pt>
                <c:pt idx="2">
                  <c:v>40891.304166666669</c:v>
                </c:pt>
                <c:pt idx="3">
                  <c:v>40897.837500000001</c:v>
                </c:pt>
                <c:pt idx="4">
                  <c:v>40905.475694444445</c:v>
                </c:pt>
                <c:pt idx="5">
                  <c:v>40915.720833333333</c:v>
                </c:pt>
                <c:pt idx="6">
                  <c:v>40924.886111111111</c:v>
                </c:pt>
                <c:pt idx="7">
                  <c:v>40931.749305555553</c:v>
                </c:pt>
                <c:pt idx="8">
                  <c:v>40938.529166666667</c:v>
                </c:pt>
                <c:pt idx="9">
                  <c:v>40945.729166666664</c:v>
                </c:pt>
                <c:pt idx="10">
                  <c:v>40953.342361111114</c:v>
                </c:pt>
                <c:pt idx="11">
                  <c:v>40960.301388888889</c:v>
                </c:pt>
                <c:pt idx="12">
                  <c:v>40966.727777777778</c:v>
                </c:pt>
                <c:pt idx="13">
                  <c:v>40973.725694444445</c:v>
                </c:pt>
                <c:pt idx="14">
                  <c:v>40980.730555555558</c:v>
                </c:pt>
                <c:pt idx="15">
                  <c:v>40986.539583333331</c:v>
                </c:pt>
                <c:pt idx="16">
                  <c:v>40993.867361111108</c:v>
                </c:pt>
              </c:numCache>
            </c:numRef>
          </c:xVal>
          <c:yVal>
            <c:numRef>
              <c:f>Data!$K$14:$K$30</c:f>
              <c:numCache>
                <c:formatCode>0.00</c:formatCode>
                <c:ptCount val="17"/>
                <c:pt idx="0">
                  <c:v>46.974542962112508</c:v>
                </c:pt>
                <c:pt idx="1">
                  <c:v>45.434706469344604</c:v>
                </c:pt>
                <c:pt idx="2">
                  <c:v>43.6269702363604</c:v>
                </c:pt>
                <c:pt idx="3">
                  <c:v>45.159282371943121</c:v>
                </c:pt>
                <c:pt idx="4">
                  <c:v>43.291862591792658</c:v>
                </c:pt>
                <c:pt idx="5">
                  <c:v>41.850880975404074</c:v>
                </c:pt>
                <c:pt idx="6">
                  <c:v>42.208882150338674</c:v>
                </c:pt>
                <c:pt idx="7">
                  <c:v>46.285059243362021</c:v>
                </c:pt>
                <c:pt idx="8">
                  <c:v>39.815951155212396</c:v>
                </c:pt>
                <c:pt idx="9">
                  <c:v>44.095484843109539</c:v>
                </c:pt>
                <c:pt idx="10">
                  <c:v>43.438910349792678</c:v>
                </c:pt>
                <c:pt idx="11">
                  <c:v>43.288029477221805</c:v>
                </c:pt>
                <c:pt idx="12">
                  <c:v>45.214651634236183</c:v>
                </c:pt>
                <c:pt idx="13">
                  <c:v>43.883719927377307</c:v>
                </c:pt>
                <c:pt idx="14">
                  <c:v>45.030894046046761</c:v>
                </c:pt>
                <c:pt idx="15">
                  <c:v>43.805848218800939</c:v>
                </c:pt>
                <c:pt idx="16">
                  <c:v>43.407414204921039</c:v>
                </c:pt>
              </c:numCache>
            </c:numRef>
          </c:yVal>
        </c:ser>
        <c:ser>
          <c:idx val="0"/>
          <c:order val="1"/>
          <c:tx>
            <c:v>Average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Data!$A$14:$A$30</c:f>
              <c:numCache>
                <c:formatCode>[$-F800]dddd\,\ mmmm\ dd\,\ yyyy</c:formatCode>
                <c:ptCount val="17"/>
                <c:pt idx="0">
                  <c:v>40875.908333333333</c:v>
                </c:pt>
                <c:pt idx="1">
                  <c:v>40881.677083333336</c:v>
                </c:pt>
                <c:pt idx="2">
                  <c:v>40891.304166666669</c:v>
                </c:pt>
                <c:pt idx="3">
                  <c:v>40897.837500000001</c:v>
                </c:pt>
                <c:pt idx="4">
                  <c:v>40905.475694444445</c:v>
                </c:pt>
                <c:pt idx="5">
                  <c:v>40915.720833333333</c:v>
                </c:pt>
                <c:pt idx="6">
                  <c:v>40924.886111111111</c:v>
                </c:pt>
                <c:pt idx="7">
                  <c:v>40931.749305555553</c:v>
                </c:pt>
                <c:pt idx="8">
                  <c:v>40938.529166666667</c:v>
                </c:pt>
                <c:pt idx="9">
                  <c:v>40945.729166666664</c:v>
                </c:pt>
                <c:pt idx="10">
                  <c:v>40953.342361111114</c:v>
                </c:pt>
                <c:pt idx="11">
                  <c:v>40960.301388888889</c:v>
                </c:pt>
                <c:pt idx="12">
                  <c:v>40966.727777777778</c:v>
                </c:pt>
                <c:pt idx="13">
                  <c:v>40973.725694444445</c:v>
                </c:pt>
                <c:pt idx="14">
                  <c:v>40980.730555555558</c:v>
                </c:pt>
                <c:pt idx="15">
                  <c:v>40986.539583333331</c:v>
                </c:pt>
                <c:pt idx="16">
                  <c:v>40993.867361111108</c:v>
                </c:pt>
              </c:numCache>
            </c:numRef>
          </c:xVal>
          <c:yVal>
            <c:numRef>
              <c:f>Data!$AA$15:$AA$29</c:f>
              <c:numCache>
                <c:formatCode>0.00</c:formatCode>
                <c:ptCount val="15"/>
                <c:pt idx="0">
                  <c:v>46.204624715728556</c:v>
                </c:pt>
                <c:pt idx="1">
                  <c:v>45.345406555939171</c:v>
                </c:pt>
                <c:pt idx="2">
                  <c:v>45.29887550994016</c:v>
                </c:pt>
                <c:pt idx="3">
                  <c:v>44.897472926310662</c:v>
                </c:pt>
                <c:pt idx="4">
                  <c:v>44.389707601159564</c:v>
                </c:pt>
                <c:pt idx="5">
                  <c:v>44.078161108185157</c:v>
                </c:pt>
                <c:pt idx="6">
                  <c:v>44.354023375082264</c:v>
                </c:pt>
                <c:pt idx="7">
                  <c:v>43.849793128430058</c:v>
                </c:pt>
                <c:pt idx="8">
                  <c:v>43.87436229989801</c:v>
                </c:pt>
                <c:pt idx="9">
                  <c:v>43.83477575897934</c:v>
                </c:pt>
                <c:pt idx="10">
                  <c:v>43.789213568832878</c:v>
                </c:pt>
                <c:pt idx="11">
                  <c:v>43.898862650786974</c:v>
                </c:pt>
                <c:pt idx="12">
                  <c:v>43.897781027686285</c:v>
                </c:pt>
                <c:pt idx="13">
                  <c:v>43.973321895576987</c:v>
                </c:pt>
                <c:pt idx="14">
                  <c:v>43.962854790778486</c:v>
                </c:pt>
              </c:numCache>
            </c:numRef>
          </c:yVal>
        </c:ser>
        <c:axId val="109860352"/>
        <c:axId val="109862272"/>
      </c:scatterChart>
      <c:valAx>
        <c:axId val="1098603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4881075491209926"/>
              <c:y val="0.94237288135593222"/>
            </c:manualLayout>
          </c:layout>
          <c:spPr>
            <a:noFill/>
            <a:ln w="25400">
              <a:noFill/>
            </a:ln>
          </c:spPr>
        </c:title>
        <c:numFmt formatCode="dd/mm/yy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862272"/>
        <c:crosses val="autoZero"/>
        <c:crossBetween val="midCat"/>
      </c:valAx>
      <c:valAx>
        <c:axId val="109862272"/>
        <c:scaling>
          <c:orientation val="minMax"/>
        </c:scaling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MPG</a:t>
                </a:r>
              </a:p>
            </c:rich>
          </c:tx>
          <c:layout>
            <c:manualLayout>
              <c:xMode val="edge"/>
              <c:yMode val="edge"/>
              <c:x val="1.1375387797311272E-2"/>
              <c:y val="0.47796610169491527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8603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92864529472594"/>
          <c:y val="0.47118644067796611"/>
          <c:w val="8.8934850051706302E-2"/>
          <c:h val="7.288135593220339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Percentage Full</a:t>
            </a:r>
          </a:p>
        </c:rich>
      </c:tx>
      <c:layout>
        <c:manualLayout>
          <c:xMode val="edge"/>
          <c:yMode val="edge"/>
          <c:x val="0.43536711478800416"/>
          <c:y val="2.03389830508474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695966907962769E-2"/>
          <c:y val="0.12542372881355932"/>
          <c:w val="0.75180972078593589"/>
          <c:h val="0.735593220338983"/>
        </c:manualLayout>
      </c:layout>
      <c:scatterChart>
        <c:scatterStyle val="smoothMarker"/>
        <c:ser>
          <c:idx val="0"/>
          <c:order val="0"/>
          <c:tx>
            <c:v>Percentage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Data!$I$13:$I$30</c:f>
              <c:numCache>
                <c:formatCode>0.0%</c:formatCode>
                <c:ptCount val="18"/>
                <c:pt idx="0">
                  <c:v>0.95400000000000007</c:v>
                </c:pt>
                <c:pt idx="1">
                  <c:v>0.871</c:v>
                </c:pt>
                <c:pt idx="2">
                  <c:v>0.86716666666666664</c:v>
                </c:pt>
                <c:pt idx="3">
                  <c:v>0.93783333333333341</c:v>
                </c:pt>
                <c:pt idx="4">
                  <c:v>0.87916666666666665</c:v>
                </c:pt>
                <c:pt idx="5">
                  <c:v>0.84883333333333333</c:v>
                </c:pt>
                <c:pt idx="6">
                  <c:v>0.94866666666666666</c:v>
                </c:pt>
                <c:pt idx="7">
                  <c:v>1.0088333333333332</c:v>
                </c:pt>
                <c:pt idx="8">
                  <c:v>0.91016666666666668</c:v>
                </c:pt>
                <c:pt idx="9">
                  <c:v>1.02189</c:v>
                </c:pt>
                <c:pt idx="10">
                  <c:v>0.94333333333333336</c:v>
                </c:pt>
                <c:pt idx="11">
                  <c:v>0.88433333333333342</c:v>
                </c:pt>
                <c:pt idx="12">
                  <c:v>0.89266666666666672</c:v>
                </c:pt>
                <c:pt idx="13">
                  <c:v>0.76916666666666667</c:v>
                </c:pt>
                <c:pt idx="14">
                  <c:v>0.92716666666666669</c:v>
                </c:pt>
                <c:pt idx="15">
                  <c:v>0.9338333333333334</c:v>
                </c:pt>
                <c:pt idx="16">
                  <c:v>0.92016666666666669</c:v>
                </c:pt>
                <c:pt idx="17">
                  <c:v>0.90766666666666673</c:v>
                </c:pt>
              </c:numCache>
            </c:numRef>
          </c:yVal>
        </c:ser>
        <c:ser>
          <c:idx val="1"/>
          <c:order val="1"/>
          <c:tx>
            <c:v>Over 100%</c:v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Data!$A$13:$A$30</c:f>
              <c:numCache>
                <c:formatCode>[$-F800]dddd\,\ mmmm\ dd\,\ yyyy</c:formatCode>
                <c:ptCount val="18"/>
                <c:pt idx="0">
                  <c:v>40868.703472222223</c:v>
                </c:pt>
                <c:pt idx="1">
                  <c:v>40875.908333333333</c:v>
                </c:pt>
                <c:pt idx="2">
                  <c:v>40881.677083333336</c:v>
                </c:pt>
                <c:pt idx="3">
                  <c:v>40891.304166666669</c:v>
                </c:pt>
                <c:pt idx="4">
                  <c:v>40897.837500000001</c:v>
                </c:pt>
                <c:pt idx="5">
                  <c:v>40905.475694444445</c:v>
                </c:pt>
                <c:pt idx="6">
                  <c:v>40915.720833333333</c:v>
                </c:pt>
                <c:pt idx="7">
                  <c:v>40924.886111111111</c:v>
                </c:pt>
                <c:pt idx="8">
                  <c:v>40931.749305555553</c:v>
                </c:pt>
                <c:pt idx="9">
                  <c:v>40938.529166666667</c:v>
                </c:pt>
                <c:pt idx="10">
                  <c:v>40945.729166666664</c:v>
                </c:pt>
                <c:pt idx="11">
                  <c:v>40953.342361111114</c:v>
                </c:pt>
                <c:pt idx="12">
                  <c:v>40960.301388888889</c:v>
                </c:pt>
                <c:pt idx="13">
                  <c:v>40966.727777777778</c:v>
                </c:pt>
                <c:pt idx="14">
                  <c:v>40973.725694444445</c:v>
                </c:pt>
                <c:pt idx="15">
                  <c:v>40980.730555555558</c:v>
                </c:pt>
                <c:pt idx="16">
                  <c:v>40986.539583333331</c:v>
                </c:pt>
                <c:pt idx="17">
                  <c:v>40993.867361111108</c:v>
                </c:pt>
              </c:numCache>
            </c:numRef>
          </c:xVal>
          <c:yVal>
            <c:numRef>
              <c:f>Data!$AI$13:$AI$30</c:f>
              <c:numCache>
                <c:formatCode>0.00%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1.0088333333333332</c:v>
                </c:pt>
                <c:pt idx="8">
                  <c:v>#N/A</c:v>
                </c:pt>
                <c:pt idx="9">
                  <c:v>1.02189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yVal>
          <c:smooth val="1"/>
        </c:ser>
        <c:axId val="108926080"/>
        <c:axId val="108941312"/>
      </c:scatterChart>
      <c:valAx>
        <c:axId val="10892608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4053774560496378"/>
              <c:y val="0.94237288135593222"/>
            </c:manualLayout>
          </c:layout>
          <c:spPr>
            <a:noFill/>
            <a:ln w="25400">
              <a:noFill/>
            </a:ln>
          </c:spPr>
        </c:title>
        <c:numFmt formatCode="[$-F800]dddd\,\ mmmm\ dd\,\ yy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41312"/>
        <c:crosses val="autoZero"/>
        <c:crossBetween val="midCat"/>
      </c:valAx>
      <c:valAx>
        <c:axId val="108941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1375387797311272E-2"/>
              <c:y val="0.48135593220338985"/>
            </c:manualLayout>
          </c:layout>
          <c:spPr>
            <a:noFill/>
            <a:ln w="25400">
              <a:noFill/>
            </a:ln>
          </c:spPr>
        </c:title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926080"/>
        <c:crosses val="autoZero"/>
        <c:crossBetween val="midCat"/>
        <c:majorUnit val="0.1"/>
        <c:min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24612202688724"/>
          <c:y val="0.4576271186440678"/>
          <c:w val="0.10961737331954498"/>
          <c:h val="7.288135593220339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4"/>
  <sheetViews>
    <sheetView zoomScale="125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7"/>
  <sheetViews>
    <sheetView zoomScale="125"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zoomScale="125" workbookViewId="0"/>
  </sheetViews>
  <pageMargins left="0.75" right="0.75" top="1" bottom="1" header="0.5" footer="0.5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zoomScale="125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8"/>
  <sheetViews>
    <sheetView zoomScale="125" workbookViewId="0"/>
  </sheetViews>
  <pageMargins left="0.75" right="0.75" top="1" bottom="1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5" workbookViewId="0"/>
  </sheetViews>
  <pageMargins left="0.75" right="0.75" top="1" bottom="1" header="0.5" footer="0.5"/>
  <headerFooter alignWithMargins="0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628650</xdr:colOff>
      <xdr:row>55</xdr:row>
      <xdr:rowOff>0</xdr:rowOff>
    </xdr:from>
    <xdr:ext cx="114300" cy="200025"/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22317075" y="9172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0.44475</cdr:x>
      <cdr:y>0.2415</cdr:y>
    </cdr:from>
    <cdr:to>
      <cdr:x>0.5025</cdr:x>
      <cdr:y>0.33925</cdr:y>
    </cdr:to>
    <cdr:sp macro="" textlink="">
      <cdr:nvSpPr>
        <cdr:cNvPr id="20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6448" y="1357170"/>
          <a:ext cx="531916" cy="54933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Average</a:t>
          </a:r>
        </a:p>
      </cdr:txBody>
    </cdr:sp>
  </cdr:relSizeAnchor>
  <cdr:relSizeAnchor xmlns:cdr="http://schemas.openxmlformats.org/drawingml/2006/chartDrawing">
    <cdr:from>
      <cdr:x>0.44925</cdr:x>
      <cdr:y>0.275</cdr:y>
    </cdr:from>
    <cdr:to>
      <cdr:x>0.499</cdr:x>
      <cdr:y>0.309</cdr:y>
    </cdr:to>
    <cdr:sp macro="" textlink="#REF!">
      <cdr:nvSpPr>
        <cdr:cNvPr id="2049" name="Rectangle 1"/>
        <cdr:cNvSpPr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4137896" y="1545431"/>
          <a:ext cx="458231" cy="1910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BC222E15-6471-4158-B61F-C1A6A134A38B}" type="TxLink"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</a:t>
          </a:fld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AJ57"/>
  <sheetViews>
    <sheetView tabSelected="1" workbookViewId="0">
      <selection activeCell="G10" sqref="G10"/>
    </sheetView>
  </sheetViews>
  <sheetFormatPr defaultRowHeight="12.75"/>
  <cols>
    <col min="1" max="1" width="18.7109375" bestFit="1" customWidth="1"/>
    <col min="2" max="2" width="17.28515625" bestFit="1" customWidth="1"/>
    <col min="3" max="3" width="18.7109375" bestFit="1" customWidth="1"/>
    <col min="4" max="4" width="11.85546875" bestFit="1" customWidth="1"/>
    <col min="5" max="5" width="12.7109375" bestFit="1" customWidth="1"/>
    <col min="6" max="6" width="18.7109375" bestFit="1" customWidth="1"/>
    <col min="7" max="7" width="12.85546875" bestFit="1" customWidth="1"/>
    <col min="8" max="8" width="10.140625" bestFit="1" customWidth="1"/>
    <col min="9" max="9" width="13.42578125" bestFit="1" customWidth="1"/>
    <col min="10" max="10" width="16" bestFit="1" customWidth="1"/>
    <col min="11" max="11" width="9.140625" bestFit="1" customWidth="1"/>
    <col min="12" max="12" width="7.5703125" bestFit="1" customWidth="1"/>
    <col min="13" max="13" width="11.7109375" bestFit="1" customWidth="1"/>
    <col min="14" max="14" width="9.85546875" bestFit="1" customWidth="1"/>
    <col min="15" max="16" width="9.140625" bestFit="1" customWidth="1"/>
    <col min="17" max="17" width="11" bestFit="1" customWidth="1"/>
    <col min="19" max="19" width="7.5703125" bestFit="1" customWidth="1"/>
    <col min="21" max="21" width="7.5703125" bestFit="1" customWidth="1"/>
    <col min="22" max="22" width="9.5703125" bestFit="1" customWidth="1"/>
    <col min="23" max="23" width="5.5703125" bestFit="1" customWidth="1"/>
    <col min="24" max="24" width="6.140625" bestFit="1" customWidth="1"/>
    <col min="25" max="26" width="6.5703125" bestFit="1" customWidth="1"/>
    <col min="27" max="27" width="7" bestFit="1" customWidth="1"/>
    <col min="28" max="29" width="7.5703125" bestFit="1" customWidth="1"/>
    <col min="30" max="30" width="11.5703125" bestFit="1" customWidth="1"/>
    <col min="31" max="31" width="9.7109375" bestFit="1" customWidth="1"/>
    <col min="32" max="32" width="9.28515625" customWidth="1"/>
    <col min="33" max="34" width="6.5703125" bestFit="1" customWidth="1"/>
    <col min="35" max="35" width="10" bestFit="1" customWidth="1"/>
  </cols>
  <sheetData>
    <row r="1" spans="1:36" ht="13.5" thickBot="1">
      <c r="A1" s="207" t="s">
        <v>36</v>
      </c>
      <c r="B1" s="5">
        <v>60</v>
      </c>
      <c r="C1" s="106" t="s">
        <v>13</v>
      </c>
      <c r="F1" s="209" t="s">
        <v>50</v>
      </c>
      <c r="G1" s="214"/>
      <c r="H1" s="217"/>
      <c r="J1" s="209" t="s">
        <v>22</v>
      </c>
      <c r="K1" s="214"/>
      <c r="L1" s="214"/>
      <c r="M1" s="214"/>
      <c r="N1" s="214"/>
      <c r="O1" s="210"/>
      <c r="P1" s="211"/>
    </row>
    <row r="2" spans="1:36" ht="13.5" thickBot="1">
      <c r="A2" s="208"/>
      <c r="B2" s="107">
        <f>B1/4.54609188</f>
        <v>13.198149439953687</v>
      </c>
      <c r="C2" s="106" t="s">
        <v>46</v>
      </c>
      <c r="F2" s="215" t="s">
        <v>51</v>
      </c>
      <c r="G2" s="216"/>
      <c r="H2" s="117">
        <v>20</v>
      </c>
      <c r="J2" s="181"/>
      <c r="K2" s="182" t="s">
        <v>21</v>
      </c>
      <c r="L2" s="183" t="s">
        <v>13</v>
      </c>
      <c r="M2" s="184" t="s">
        <v>54</v>
      </c>
      <c r="N2" s="183" t="s">
        <v>55</v>
      </c>
      <c r="O2" s="17" t="s">
        <v>24</v>
      </c>
      <c r="P2" s="101" t="s">
        <v>49</v>
      </c>
    </row>
    <row r="3" spans="1:36" ht="13.5" thickBot="1">
      <c r="F3" s="11" t="s">
        <v>26</v>
      </c>
      <c r="G3" s="11" t="s">
        <v>45</v>
      </c>
      <c r="H3" s="165" t="s">
        <v>14</v>
      </c>
      <c r="J3" s="70" t="s">
        <v>53</v>
      </c>
      <c r="K3" s="2">
        <f>SUM(D14:D30)/SUM($B$14:$B$30)</f>
        <v>71.562174038485281</v>
      </c>
      <c r="L3" s="198">
        <f>SUM(H13:H30)/SUM($B$14:$B$30)</f>
        <v>7.8741033755745118</v>
      </c>
      <c r="M3" s="180">
        <f>SUM(L13:L30)/SUM($B$14:$B$30)</f>
        <v>11.193841890321956</v>
      </c>
      <c r="N3" s="112">
        <f>SUM(M13:M30)/SUM($B$14:$B$30)</f>
        <v>7.384596615726295</v>
      </c>
      <c r="O3" s="79">
        <f>SUM(N13:N30)/SUM($B$14:$B$30)</f>
        <v>3.8092452745956602</v>
      </c>
      <c r="P3" s="185">
        <f>SUM(J13:J30)/SUM($B$14:$B$30)</f>
        <v>0.39370516877872547</v>
      </c>
    </row>
    <row r="4" spans="1:36">
      <c r="A4" s="218" t="s">
        <v>15</v>
      </c>
      <c r="B4" s="1" t="s">
        <v>29</v>
      </c>
      <c r="C4" s="79">
        <v>70</v>
      </c>
      <c r="E4" s="33"/>
      <c r="F4" s="166" t="s">
        <v>11</v>
      </c>
      <c r="G4" s="167">
        <v>18.989999999999998</v>
      </c>
      <c r="H4" s="168">
        <f>G4/$H$2</f>
        <v>0.9494999999999999</v>
      </c>
      <c r="I4" s="33"/>
      <c r="J4" s="202" t="s">
        <v>52</v>
      </c>
      <c r="K4" s="78">
        <f t="shared" ref="K4:P4" si="0">K3*7</f>
        <v>500.93521826939696</v>
      </c>
      <c r="L4" s="199">
        <f t="shared" si="0"/>
        <v>55.118723629021581</v>
      </c>
      <c r="M4" s="195">
        <f t="shared" si="0"/>
        <v>78.356893232253697</v>
      </c>
      <c r="N4" s="196">
        <f t="shared" si="0"/>
        <v>51.692176310084065</v>
      </c>
      <c r="O4" s="197">
        <f t="shared" si="0"/>
        <v>26.664716922169621</v>
      </c>
      <c r="P4" s="203">
        <f t="shared" si="0"/>
        <v>2.7559361814510783</v>
      </c>
      <c r="AH4" s="34"/>
      <c r="AI4" s="34"/>
      <c r="AJ4" s="34"/>
    </row>
    <row r="5" spans="1:36">
      <c r="A5" s="219"/>
      <c r="B5" s="113">
        <f>ROUNDUP((B6*30.436875),0)</f>
        <v>19</v>
      </c>
      <c r="C5" s="130" t="s">
        <v>27</v>
      </c>
      <c r="F5" s="77" t="s">
        <v>25</v>
      </c>
      <c r="G5" s="163">
        <v>18.79</v>
      </c>
      <c r="H5" s="12">
        <f>G5/$H$2</f>
        <v>0.9395</v>
      </c>
      <c r="J5" s="71" t="s">
        <v>8</v>
      </c>
      <c r="K5" s="78">
        <f t="shared" ref="K5:P5" si="1">K3*30.436875</f>
        <v>2178.1289459376217</v>
      </c>
      <c r="L5" s="199">
        <f t="shared" si="1"/>
        <v>239.66310017943948</v>
      </c>
      <c r="M5" s="188">
        <f t="shared" si="1"/>
        <v>340.70556638549306</v>
      </c>
      <c r="N5" s="189">
        <f t="shared" si="1"/>
        <v>224.76404411828429</v>
      </c>
      <c r="O5" s="190">
        <f t="shared" si="1"/>
        <v>115.94152226720878</v>
      </c>
      <c r="P5" s="186">
        <f t="shared" si="1"/>
        <v>11.98315500897197</v>
      </c>
      <c r="AH5" s="33"/>
      <c r="AI5" s="33"/>
      <c r="AJ5" s="33"/>
    </row>
    <row r="6" spans="1:36" ht="13.5" thickBot="1">
      <c r="A6" s="220"/>
      <c r="B6" s="132">
        <f>$C$4/O5</f>
        <v>0.60375263866789664</v>
      </c>
      <c r="C6" s="131" t="s">
        <v>9</v>
      </c>
      <c r="D6" s="33"/>
      <c r="F6" s="76" t="s">
        <v>28</v>
      </c>
      <c r="G6" s="164">
        <v>18.489999999999998</v>
      </c>
      <c r="H6" s="13">
        <f>G6/$H$2</f>
        <v>0.92449999999999988</v>
      </c>
      <c r="J6" s="72" t="s">
        <v>16</v>
      </c>
      <c r="K6" s="200">
        <f t="shared" ref="K6:P6" si="2">K5*12</f>
        <v>26137.547351251458</v>
      </c>
      <c r="L6" s="201">
        <f t="shared" si="2"/>
        <v>2875.957202153274</v>
      </c>
      <c r="M6" s="191">
        <f t="shared" si="2"/>
        <v>4088.4667966259167</v>
      </c>
      <c r="N6" s="192">
        <f t="shared" si="2"/>
        <v>2697.1685294194112</v>
      </c>
      <c r="O6" s="193">
        <f t="shared" si="2"/>
        <v>1391.2982672065054</v>
      </c>
      <c r="P6" s="187">
        <f t="shared" si="2"/>
        <v>143.79786010766364</v>
      </c>
      <c r="AG6" s="33"/>
      <c r="AH6" s="33"/>
      <c r="AI6" s="33"/>
    </row>
    <row r="7" spans="1:36" ht="13.5" thickBot="1">
      <c r="D7" s="68"/>
      <c r="E7" s="68"/>
      <c r="K7" s="33"/>
      <c r="L7" s="144"/>
      <c r="M7" s="143"/>
      <c r="AG7" s="68"/>
    </row>
    <row r="8" spans="1:36" ht="13.5" thickBot="1">
      <c r="A8" s="7" t="s">
        <v>47</v>
      </c>
      <c r="B8" s="178">
        <f>(MAX(F13:F51)-MIN(F13:F51))*100</f>
        <v>8.2000000000000064</v>
      </c>
      <c r="C8" s="179" t="s">
        <v>48</v>
      </c>
      <c r="I8" s="68"/>
      <c r="J8" s="212" t="s">
        <v>10</v>
      </c>
      <c r="K8" s="73" t="s">
        <v>3</v>
      </c>
      <c r="L8" s="3" t="s">
        <v>5</v>
      </c>
      <c r="M8" s="4" t="s">
        <v>7</v>
      </c>
      <c r="V8" s="140"/>
      <c r="W8" s="140"/>
      <c r="X8" s="140"/>
      <c r="Y8" s="140"/>
      <c r="Z8" s="140"/>
      <c r="AA8" s="140"/>
      <c r="AB8" s="141"/>
      <c r="AC8" s="141"/>
      <c r="AD8" s="142"/>
      <c r="AE8" s="142"/>
      <c r="AF8" s="142"/>
      <c r="AG8" s="68"/>
    </row>
    <row r="9" spans="1:36" ht="13.5" thickBot="1">
      <c r="A9" s="33"/>
      <c r="B9" s="194"/>
      <c r="C9" s="33"/>
      <c r="I9" s="68"/>
      <c r="J9" s="213"/>
      <c r="K9" s="10">
        <f>SUM(L13:L51)</f>
        <v>1401.0647826000002</v>
      </c>
      <c r="L9" s="8">
        <f>SUM(M13:M51)</f>
        <v>924.28483029999984</v>
      </c>
      <c r="M9" s="9">
        <f>SUM(N13:N51)</f>
        <v>476.77995230000022</v>
      </c>
      <c r="V9" s="140"/>
      <c r="W9" s="140"/>
      <c r="X9" s="140"/>
      <c r="Y9" s="140"/>
      <c r="Z9" s="140"/>
      <c r="AA9" s="140"/>
      <c r="AB9" s="141"/>
      <c r="AC9" s="141"/>
      <c r="AD9" s="142"/>
      <c r="AE9" s="142"/>
      <c r="AF9" s="142"/>
      <c r="AG9" s="68"/>
    </row>
    <row r="10" spans="1:36" ht="13.5" thickBot="1"/>
    <row r="11" spans="1:36" ht="13.5" thickBot="1">
      <c r="A11" s="234" t="s">
        <v>56</v>
      </c>
      <c r="C11" s="234" t="s">
        <v>56</v>
      </c>
      <c r="F11" s="234" t="s">
        <v>56</v>
      </c>
      <c r="J11" s="14"/>
      <c r="K11" s="14"/>
      <c r="L11" s="209" t="s">
        <v>6</v>
      </c>
      <c r="M11" s="214"/>
      <c r="N11" s="217"/>
      <c r="O11" s="212" t="s">
        <v>30</v>
      </c>
      <c r="P11" s="209" t="s">
        <v>8</v>
      </c>
      <c r="Q11" s="210"/>
      <c r="R11" s="210"/>
      <c r="S11" s="210"/>
      <c r="T11" s="210"/>
      <c r="U11" s="210"/>
      <c r="V11" s="211"/>
      <c r="W11" s="209" t="s">
        <v>18</v>
      </c>
      <c r="X11" s="210"/>
      <c r="Y11" s="210"/>
      <c r="Z11" s="210"/>
      <c r="AA11" s="210"/>
      <c r="AB11" s="210"/>
      <c r="AC11" s="210"/>
      <c r="AD11" s="211"/>
      <c r="AE11" s="209" t="s">
        <v>34</v>
      </c>
      <c r="AF11" s="217"/>
      <c r="AG11" s="209" t="s">
        <v>35</v>
      </c>
      <c r="AH11" s="217"/>
      <c r="AI11" s="37" t="s">
        <v>38</v>
      </c>
    </row>
    <row r="12" spans="1:36" ht="26.25" thickBot="1">
      <c r="A12" s="231" t="s">
        <v>1</v>
      </c>
      <c r="B12" s="176" t="s">
        <v>19</v>
      </c>
      <c r="C12" s="232" t="s">
        <v>0</v>
      </c>
      <c r="D12" s="176" t="s">
        <v>20</v>
      </c>
      <c r="E12" s="176" t="s">
        <v>23</v>
      </c>
      <c r="F12" s="233" t="s">
        <v>17</v>
      </c>
      <c r="G12" s="101" t="s">
        <v>31</v>
      </c>
      <c r="H12" s="177" t="s">
        <v>12</v>
      </c>
      <c r="I12" s="37" t="s">
        <v>37</v>
      </c>
      <c r="J12" s="14" t="s">
        <v>40</v>
      </c>
      <c r="K12" s="37" t="s">
        <v>2</v>
      </c>
      <c r="L12" s="48" t="s">
        <v>4</v>
      </c>
      <c r="M12" s="49" t="s">
        <v>5</v>
      </c>
      <c r="N12" s="50" t="s">
        <v>7</v>
      </c>
      <c r="O12" s="213"/>
      <c r="P12" s="37" t="s">
        <v>21</v>
      </c>
      <c r="Q12" s="74" t="s">
        <v>17</v>
      </c>
      <c r="R12" s="37" t="s">
        <v>31</v>
      </c>
      <c r="S12" s="37" t="s">
        <v>13</v>
      </c>
      <c r="T12" s="15" t="s">
        <v>3</v>
      </c>
      <c r="U12" s="16" t="s">
        <v>5</v>
      </c>
      <c r="V12" s="17" t="s">
        <v>7</v>
      </c>
      <c r="W12" s="145" t="s">
        <v>41</v>
      </c>
      <c r="X12" s="64" t="s">
        <v>42</v>
      </c>
      <c r="Y12" s="146" t="s">
        <v>43</v>
      </c>
      <c r="Z12" s="64" t="s">
        <v>44</v>
      </c>
      <c r="AA12" s="65" t="s">
        <v>2</v>
      </c>
      <c r="AB12" s="58" t="s">
        <v>3</v>
      </c>
      <c r="AC12" s="59" t="s">
        <v>5</v>
      </c>
      <c r="AD12" s="60" t="s">
        <v>7</v>
      </c>
      <c r="AE12" s="35" t="s">
        <v>32</v>
      </c>
      <c r="AF12" s="35" t="s">
        <v>33</v>
      </c>
      <c r="AG12" s="35" t="s">
        <v>32</v>
      </c>
      <c r="AH12" s="35" t="s">
        <v>33</v>
      </c>
      <c r="AI12" s="37" t="s">
        <v>39</v>
      </c>
    </row>
    <row r="13" spans="1:36">
      <c r="A13" s="221">
        <v>40868.703472222223</v>
      </c>
      <c r="B13" s="63"/>
      <c r="C13" s="225">
        <v>117186</v>
      </c>
      <c r="D13" s="69"/>
      <c r="E13" s="69"/>
      <c r="F13" s="169">
        <v>1.429</v>
      </c>
      <c r="G13" s="42">
        <f t="shared" ref="G13:G51" si="3">AVERAGE(H$4:H$8)</f>
        <v>0.93783333333333319</v>
      </c>
      <c r="H13" s="172">
        <v>57.24</v>
      </c>
      <c r="I13" s="204">
        <f t="shared" ref="I13:I51" si="4">(H13/$B$1)</f>
        <v>0.95400000000000007</v>
      </c>
      <c r="J13" s="133">
        <f t="shared" ref="J13:J51" si="5">H13/$H$2</f>
        <v>2.8620000000000001</v>
      </c>
      <c r="K13" s="137"/>
      <c r="L13" s="46">
        <f t="shared" ref="L13:L51" si="6">F13*$H13</f>
        <v>81.795960000000008</v>
      </c>
      <c r="M13" s="105">
        <f t="shared" ref="M13:M51" si="7">G13*$H13</f>
        <v>53.681579999999997</v>
      </c>
      <c r="N13" s="18">
        <f>L13-M13</f>
        <v>28.114380000000011</v>
      </c>
      <c r="O13" s="97"/>
      <c r="P13" s="80"/>
      <c r="Q13" s="85"/>
      <c r="R13" s="92"/>
      <c r="S13" s="38"/>
      <c r="T13" s="23"/>
      <c r="U13" s="24"/>
      <c r="V13" s="25"/>
      <c r="W13" s="150"/>
      <c r="X13" s="158">
        <f>AVERAGE(H$13:H14)</f>
        <v>54.75</v>
      </c>
      <c r="Y13" s="153">
        <f>AVERAGE(F$13:F14)</f>
        <v>1.4239999999999999</v>
      </c>
      <c r="Z13" s="154">
        <f>AVERAGE(L$13:L14)</f>
        <v>77.97645</v>
      </c>
      <c r="AA13" s="149"/>
      <c r="AB13" s="121"/>
      <c r="AC13" s="122"/>
      <c r="AD13" s="123"/>
      <c r="AE13" s="70" t="e">
        <f>AI13=IF($F13=MAX($F$13:$F$51),$L13,NA())</f>
        <v>#N/A</v>
      </c>
      <c r="AF13" s="70" t="e">
        <f t="shared" ref="AF13:AF51" si="8">IF($F13=MIN($F$13:$F$51),$L13,NA())</f>
        <v>#N/A</v>
      </c>
      <c r="AG13" s="108" t="e">
        <f>IF($F13=MAX($F$13:$F$51),$F13,NA())</f>
        <v>#N/A</v>
      </c>
      <c r="AH13" s="108" t="e">
        <f>IF($F13=MIN($F$13:$F$51),$F13,NA())</f>
        <v>#N/A</v>
      </c>
      <c r="AI13" s="120" t="e">
        <f t="shared" ref="AI13:AI51" si="9">IF($I13&gt;1,$I13,NA())</f>
        <v>#N/A</v>
      </c>
    </row>
    <row r="14" spans="1:36">
      <c r="A14" s="222">
        <v>40875.908333333333</v>
      </c>
      <c r="B14" s="66">
        <f>A14-A13</f>
        <v>7.2048611111094942</v>
      </c>
      <c r="C14" s="226">
        <v>117726</v>
      </c>
      <c r="D14" s="115">
        <f>C14-C13</f>
        <v>540</v>
      </c>
      <c r="E14" s="61">
        <f t="shared" ref="E14:E51" si="10">D14/B14</f>
        <v>74.949397590378268</v>
      </c>
      <c r="F14" s="170">
        <v>1.419</v>
      </c>
      <c r="G14" s="43">
        <f t="shared" si="3"/>
        <v>0.93783333333333319</v>
      </c>
      <c r="H14" s="173">
        <v>52.26</v>
      </c>
      <c r="I14" s="205">
        <f t="shared" si="4"/>
        <v>0.871</v>
      </c>
      <c r="J14" s="134">
        <f t="shared" si="5"/>
        <v>2.613</v>
      </c>
      <c r="K14" s="47">
        <f>D14/(H14/4.54609188)</f>
        <v>46.974542962112508</v>
      </c>
      <c r="L14" s="19">
        <f t="shared" si="6"/>
        <v>74.156940000000006</v>
      </c>
      <c r="M14" s="29">
        <f t="shared" si="7"/>
        <v>49.011169999999993</v>
      </c>
      <c r="N14" s="20">
        <f t="shared" ref="N14:N51" si="11">L14-M14</f>
        <v>25.145770000000013</v>
      </c>
      <c r="O14" s="98"/>
      <c r="P14" s="81"/>
      <c r="Q14" s="86"/>
      <c r="R14" s="93"/>
      <c r="S14" s="39"/>
      <c r="T14" s="26"/>
      <c r="U14" s="27"/>
      <c r="V14" s="28"/>
      <c r="W14" s="151">
        <f>AVERAGE(D$14:D15)</f>
        <v>530</v>
      </c>
      <c r="X14" s="159">
        <f>AVERAGE(H$13:H15)</f>
        <v>53.843333333333334</v>
      </c>
      <c r="Y14" s="155">
        <f>AVERAGE(F$13:F15)</f>
        <v>1.4223333333333332</v>
      </c>
      <c r="Z14" s="147">
        <f>AVERAGE(L$13:L15)</f>
        <v>76.594490000000008</v>
      </c>
      <c r="AA14" s="148"/>
      <c r="AB14" s="124"/>
      <c r="AC14" s="125"/>
      <c r="AD14" s="126"/>
      <c r="AE14" s="109" t="e">
        <f t="shared" ref="AE14:AE51" si="12">IF($F14=MAX($F$13:$F$51),$L14,NA())</f>
        <v>#N/A</v>
      </c>
      <c r="AF14" s="109" t="e">
        <f t="shared" si="8"/>
        <v>#N/A</v>
      </c>
      <c r="AG14" s="94" t="e">
        <f t="shared" ref="AG14:AG51" si="13">IF($F14=MAX($F$13:$F$51),$F14,NA())</f>
        <v>#N/A</v>
      </c>
      <c r="AH14" s="94" t="e">
        <f t="shared" ref="AH14:AH51" si="14">IF($F14=MIN($F$13:$F$51),$F14,NA())</f>
        <v>#N/A</v>
      </c>
      <c r="AI14" s="118" t="e">
        <f t="shared" si="9"/>
        <v>#N/A</v>
      </c>
    </row>
    <row r="15" spans="1:36">
      <c r="A15" s="222">
        <v>40881.677083333336</v>
      </c>
      <c r="B15" s="66">
        <f t="shared" ref="B15:B51" si="15">A15-A14</f>
        <v>5.7687500000029104</v>
      </c>
      <c r="C15" s="226">
        <v>118246</v>
      </c>
      <c r="D15" s="114">
        <f t="shared" ref="D15:D51" si="16">C15-C14</f>
        <v>520</v>
      </c>
      <c r="E15" s="61">
        <f t="shared" si="10"/>
        <v>90.140845070377054</v>
      </c>
      <c r="F15" s="170">
        <v>1.419</v>
      </c>
      <c r="G15" s="43">
        <f t="shared" si="3"/>
        <v>0.93783333333333319</v>
      </c>
      <c r="H15" s="173">
        <v>52.03</v>
      </c>
      <c r="I15" s="205">
        <f t="shared" si="4"/>
        <v>0.86716666666666664</v>
      </c>
      <c r="J15" s="134">
        <f t="shared" si="5"/>
        <v>2.6015000000000001</v>
      </c>
      <c r="K15" s="47">
        <f t="shared" ref="K15:K51" si="17">D15/(H15/4.54609188)</f>
        <v>45.434706469344604</v>
      </c>
      <c r="L15" s="19">
        <f t="shared" si="6"/>
        <v>73.830570000000009</v>
      </c>
      <c r="M15" s="29">
        <f t="shared" si="7"/>
        <v>48.795468333333325</v>
      </c>
      <c r="N15" s="20">
        <f t="shared" si="11"/>
        <v>25.035101666666684</v>
      </c>
      <c r="O15" s="98"/>
      <c r="P15" s="81"/>
      <c r="Q15" s="86"/>
      <c r="R15" s="93"/>
      <c r="S15" s="39"/>
      <c r="T15" s="26"/>
      <c r="U15" s="27"/>
      <c r="V15" s="28"/>
      <c r="W15" s="151">
        <f>AVERAGE(D$14:D16)</f>
        <v>533.33333333333337</v>
      </c>
      <c r="X15" s="159">
        <f>AVERAGE(H$13:H16)</f>
        <v>54.45</v>
      </c>
      <c r="Y15" s="155">
        <f>AVERAGE(F$13:F16)</f>
        <v>1.4189999999999998</v>
      </c>
      <c r="Z15" s="147">
        <f>AVERAGE(L$13:L16)</f>
        <v>77.266975000000002</v>
      </c>
      <c r="AA15" s="161">
        <f>AVERAGE(K$14:K15)</f>
        <v>46.204624715728556</v>
      </c>
      <c r="AB15" s="124"/>
      <c r="AC15" s="125"/>
      <c r="AD15" s="126"/>
      <c r="AE15" s="109" t="e">
        <f t="shared" si="12"/>
        <v>#N/A</v>
      </c>
      <c r="AF15" s="109" t="e">
        <f t="shared" si="8"/>
        <v>#N/A</v>
      </c>
      <c r="AG15" s="94" t="e">
        <f t="shared" si="13"/>
        <v>#N/A</v>
      </c>
      <c r="AH15" s="94" t="e">
        <f t="shared" si="14"/>
        <v>#N/A</v>
      </c>
      <c r="AI15" s="118" t="e">
        <f t="shared" si="9"/>
        <v>#N/A</v>
      </c>
    </row>
    <row r="16" spans="1:36">
      <c r="A16" s="222">
        <v>40891.304166666669</v>
      </c>
      <c r="B16" s="66">
        <f t="shared" si="15"/>
        <v>9.6270833333328483</v>
      </c>
      <c r="C16" s="226">
        <v>118786</v>
      </c>
      <c r="D16" s="114">
        <f t="shared" si="16"/>
        <v>540</v>
      </c>
      <c r="E16" s="61">
        <f t="shared" si="10"/>
        <v>56.091755031381318</v>
      </c>
      <c r="F16" s="170">
        <v>1.409</v>
      </c>
      <c r="G16" s="43">
        <f t="shared" si="3"/>
        <v>0.93783333333333319</v>
      </c>
      <c r="H16" s="173">
        <v>56.27</v>
      </c>
      <c r="I16" s="205">
        <f t="shared" si="4"/>
        <v>0.93783333333333341</v>
      </c>
      <c r="J16" s="134">
        <f t="shared" si="5"/>
        <v>2.8135000000000003</v>
      </c>
      <c r="K16" s="47">
        <f t="shared" si="17"/>
        <v>43.6269702363604</v>
      </c>
      <c r="L16" s="19">
        <f t="shared" si="6"/>
        <v>79.28443</v>
      </c>
      <c r="M16" s="29">
        <f t="shared" si="7"/>
        <v>52.771881666666658</v>
      </c>
      <c r="N16" s="20">
        <f t="shared" si="11"/>
        <v>26.512548333333342</v>
      </c>
      <c r="O16" s="98"/>
      <c r="P16" s="81"/>
      <c r="Q16" s="86"/>
      <c r="R16" s="93"/>
      <c r="S16" s="39"/>
      <c r="T16" s="26"/>
      <c r="U16" s="27"/>
      <c r="V16" s="28"/>
      <c r="W16" s="151">
        <f>AVERAGE(D$14:D17)</f>
        <v>531</v>
      </c>
      <c r="X16" s="159">
        <f>AVERAGE(H$13:H17)</f>
        <v>54.11</v>
      </c>
      <c r="Y16" s="155">
        <f>AVERAGE(F$13:F17)</f>
        <v>1.4189999999999998</v>
      </c>
      <c r="Z16" s="147">
        <f>AVERAGE(L$13:L17)</f>
        <v>76.784030000000001</v>
      </c>
      <c r="AA16" s="161">
        <f>AVERAGE(K$14:K16)</f>
        <v>45.345406555939171</v>
      </c>
      <c r="AB16" s="124"/>
      <c r="AC16" s="125"/>
      <c r="AD16" s="126"/>
      <c r="AE16" s="109" t="e">
        <f t="shared" si="12"/>
        <v>#N/A</v>
      </c>
      <c r="AF16" s="109" t="e">
        <f t="shared" si="8"/>
        <v>#N/A</v>
      </c>
      <c r="AG16" s="94" t="e">
        <f t="shared" si="13"/>
        <v>#N/A</v>
      </c>
      <c r="AH16" s="94" t="e">
        <f t="shared" si="14"/>
        <v>#N/A</v>
      </c>
      <c r="AI16" s="118" t="e">
        <f t="shared" si="9"/>
        <v>#N/A</v>
      </c>
    </row>
    <row r="17" spans="1:35">
      <c r="A17" s="222">
        <v>40897.837500000001</v>
      </c>
      <c r="B17" s="66">
        <f t="shared" si="15"/>
        <v>6.5333333333328483</v>
      </c>
      <c r="C17" s="226">
        <v>119310</v>
      </c>
      <c r="D17" s="114">
        <f t="shared" si="16"/>
        <v>524</v>
      </c>
      <c r="E17" s="61">
        <f t="shared" si="10"/>
        <v>80.204081632659012</v>
      </c>
      <c r="F17" s="170">
        <v>1.419</v>
      </c>
      <c r="G17" s="43">
        <f t="shared" si="3"/>
        <v>0.93783333333333319</v>
      </c>
      <c r="H17" s="173">
        <v>52.75</v>
      </c>
      <c r="I17" s="205">
        <f t="shared" si="4"/>
        <v>0.87916666666666665</v>
      </c>
      <c r="J17" s="134">
        <f t="shared" si="5"/>
        <v>2.6375000000000002</v>
      </c>
      <c r="K17" s="47">
        <f t="shared" si="17"/>
        <v>45.159282371943121</v>
      </c>
      <c r="L17" s="19">
        <f t="shared" si="6"/>
        <v>74.852249999999998</v>
      </c>
      <c r="M17" s="29">
        <f t="shared" si="7"/>
        <v>49.470708333333327</v>
      </c>
      <c r="N17" s="20">
        <f t="shared" si="11"/>
        <v>25.381541666666671</v>
      </c>
      <c r="O17" s="98"/>
      <c r="P17" s="81"/>
      <c r="Q17" s="86"/>
      <c r="R17" s="93"/>
      <c r="S17" s="39"/>
      <c r="T17" s="26"/>
      <c r="U17" s="27"/>
      <c r="V17" s="28"/>
      <c r="W17" s="151">
        <f>AVERAGE(D$14:D18)</f>
        <v>521.79999999999995</v>
      </c>
      <c r="X17" s="159">
        <f>AVERAGE(H$13:H18)</f>
        <v>53.580000000000005</v>
      </c>
      <c r="Y17" s="155">
        <f>AVERAGE(F$13:F18)</f>
        <v>1.4173333333333333</v>
      </c>
      <c r="Z17" s="147">
        <f>AVERAGE(L$13:L18)</f>
        <v>75.946753333333334</v>
      </c>
      <c r="AA17" s="161">
        <f>AVERAGE(K$14:K17)</f>
        <v>45.29887550994016</v>
      </c>
      <c r="AB17" s="124"/>
      <c r="AC17" s="125"/>
      <c r="AD17" s="126"/>
      <c r="AE17" s="109" t="e">
        <f t="shared" si="12"/>
        <v>#N/A</v>
      </c>
      <c r="AF17" s="109" t="e">
        <f t="shared" si="8"/>
        <v>#N/A</v>
      </c>
      <c r="AG17" s="94" t="e">
        <f t="shared" si="13"/>
        <v>#N/A</v>
      </c>
      <c r="AH17" s="94" t="e">
        <f t="shared" si="14"/>
        <v>#N/A</v>
      </c>
      <c r="AI17" s="118" t="e">
        <f t="shared" si="9"/>
        <v>#N/A</v>
      </c>
    </row>
    <row r="18" spans="1:35">
      <c r="A18" s="222">
        <v>40905.475694444445</v>
      </c>
      <c r="B18" s="66">
        <f t="shared" si="15"/>
        <v>7.6381944444437977</v>
      </c>
      <c r="C18" s="226">
        <v>119795</v>
      </c>
      <c r="D18" s="114">
        <f t="shared" si="16"/>
        <v>485</v>
      </c>
      <c r="E18" s="61">
        <f t="shared" si="10"/>
        <v>63.496681516506875</v>
      </c>
      <c r="F18" s="170">
        <v>1.409</v>
      </c>
      <c r="G18" s="43">
        <f t="shared" si="3"/>
        <v>0.93783333333333319</v>
      </c>
      <c r="H18" s="173">
        <v>50.93</v>
      </c>
      <c r="I18" s="205">
        <f t="shared" si="4"/>
        <v>0.84883333333333333</v>
      </c>
      <c r="J18" s="134">
        <f t="shared" si="5"/>
        <v>2.5465</v>
      </c>
      <c r="K18" s="47">
        <f t="shared" si="17"/>
        <v>43.291862591792658</v>
      </c>
      <c r="L18" s="19">
        <f t="shared" si="6"/>
        <v>71.760369999999995</v>
      </c>
      <c r="M18" s="29">
        <f t="shared" si="7"/>
        <v>47.76385166666666</v>
      </c>
      <c r="N18" s="20">
        <f t="shared" si="11"/>
        <v>23.996518333333334</v>
      </c>
      <c r="O18" s="90">
        <v>40906</v>
      </c>
      <c r="P18" s="82">
        <f>SUM(D15:D18)</f>
        <v>2069</v>
      </c>
      <c r="Q18" s="87">
        <f>AVERAGE(F15:F18)</f>
        <v>1.4139999999999999</v>
      </c>
      <c r="R18" s="94">
        <f>AVERAGE(G15:G18)</f>
        <v>0.93783333333333319</v>
      </c>
      <c r="S18" s="40">
        <f>SUM(H15:H18)</f>
        <v>211.98000000000002</v>
      </c>
      <c r="T18" s="19">
        <f>SUM(L15:L18)</f>
        <v>299.72762</v>
      </c>
      <c r="U18" s="29">
        <f>SUM(M15:M18)</f>
        <v>198.80190999999996</v>
      </c>
      <c r="V18" s="20">
        <f>T18-U18</f>
        <v>100.92571000000004</v>
      </c>
      <c r="W18" s="151">
        <f>AVERAGE(D$14:D19)</f>
        <v>522.16666666666663</v>
      </c>
      <c r="X18" s="159">
        <f>AVERAGE(H$13:H19)</f>
        <v>54.057142857142864</v>
      </c>
      <c r="Y18" s="155">
        <f>AVERAGE(F$13:F19)</f>
        <v>1.4161428571428571</v>
      </c>
      <c r="Z18" s="147">
        <f>AVERAGE(L$13:L19)</f>
        <v>76.554400000000001</v>
      </c>
      <c r="AA18" s="161">
        <f>AVERAGE(K$14:K18)</f>
        <v>44.897472926310662</v>
      </c>
      <c r="AB18" s="19">
        <f>AVERAGE(T$18,T$22,T$26,T$30)</f>
        <v>311.27797065000004</v>
      </c>
      <c r="AC18" s="29">
        <f>AVERAGE(U$18,U$22,U$26,U$30)</f>
        <v>205.39802007499998</v>
      </c>
      <c r="AD18" s="20">
        <f>AVERAGE(V$18,V$22,V$26,V$30)</f>
        <v>105.87995057500007</v>
      </c>
      <c r="AE18" s="109" t="e">
        <f t="shared" si="12"/>
        <v>#N/A</v>
      </c>
      <c r="AF18" s="109" t="e">
        <f t="shared" si="8"/>
        <v>#N/A</v>
      </c>
      <c r="AG18" s="94" t="e">
        <f t="shared" si="13"/>
        <v>#N/A</v>
      </c>
      <c r="AH18" s="94" t="e">
        <f t="shared" si="14"/>
        <v>#N/A</v>
      </c>
      <c r="AI18" s="118" t="e">
        <f t="shared" si="9"/>
        <v>#N/A</v>
      </c>
    </row>
    <row r="19" spans="1:35">
      <c r="A19" s="222">
        <v>40915.720833333333</v>
      </c>
      <c r="B19" s="66">
        <f t="shared" si="15"/>
        <v>10.245138888887595</v>
      </c>
      <c r="C19" s="226">
        <v>120319</v>
      </c>
      <c r="D19" s="114">
        <f t="shared" si="16"/>
        <v>524</v>
      </c>
      <c r="E19" s="61">
        <f t="shared" si="10"/>
        <v>51.146207551013035</v>
      </c>
      <c r="F19" s="170">
        <v>1.409</v>
      </c>
      <c r="G19" s="43">
        <f t="shared" si="3"/>
        <v>0.93783333333333319</v>
      </c>
      <c r="H19" s="173">
        <v>56.92</v>
      </c>
      <c r="I19" s="205">
        <f t="shared" si="4"/>
        <v>0.94866666666666666</v>
      </c>
      <c r="J19" s="134">
        <f t="shared" si="5"/>
        <v>2.8460000000000001</v>
      </c>
      <c r="K19" s="47">
        <f t="shared" si="17"/>
        <v>41.850880975404074</v>
      </c>
      <c r="L19" s="19">
        <f t="shared" si="6"/>
        <v>80.200280000000006</v>
      </c>
      <c r="M19" s="29">
        <f t="shared" si="7"/>
        <v>53.381473333333325</v>
      </c>
      <c r="N19" s="20">
        <f t="shared" si="11"/>
        <v>26.818806666666681</v>
      </c>
      <c r="O19" s="98"/>
      <c r="P19" s="81"/>
      <c r="Q19" s="86"/>
      <c r="R19" s="93"/>
      <c r="S19" s="39"/>
      <c r="T19" s="26"/>
      <c r="U19" s="27"/>
      <c r="V19" s="28"/>
      <c r="W19" s="151">
        <f>AVERAGE(D$14:D20)</f>
        <v>527.85714285714289</v>
      </c>
      <c r="X19" s="159">
        <f>AVERAGE(H$13:H20)</f>
        <v>54.866250000000008</v>
      </c>
      <c r="Y19" s="155">
        <f>AVERAGE(F$13:F20)</f>
        <v>1.4140000000000001</v>
      </c>
      <c r="Z19" s="147">
        <f>AVERAGE(L$13:L20)</f>
        <v>77.570283750000002</v>
      </c>
      <c r="AA19" s="161">
        <f>AVERAGE(K$14:K19)</f>
        <v>44.389707601159564</v>
      </c>
      <c r="AB19" s="124"/>
      <c r="AC19" s="125"/>
      <c r="AD19" s="126"/>
      <c r="AE19" s="109" t="e">
        <f t="shared" si="12"/>
        <v>#N/A</v>
      </c>
      <c r="AF19" s="109" t="e">
        <f t="shared" si="8"/>
        <v>#N/A</v>
      </c>
      <c r="AG19" s="94" t="e">
        <f t="shared" si="13"/>
        <v>#N/A</v>
      </c>
      <c r="AH19" s="94" t="e">
        <f t="shared" si="14"/>
        <v>#N/A</v>
      </c>
      <c r="AI19" s="118" t="e">
        <f t="shared" si="9"/>
        <v>#N/A</v>
      </c>
    </row>
    <row r="20" spans="1:35">
      <c r="A20" s="222">
        <v>40924.886111111111</v>
      </c>
      <c r="B20" s="66">
        <f t="shared" si="15"/>
        <v>9.1652777777781012</v>
      </c>
      <c r="C20" s="226">
        <v>120881</v>
      </c>
      <c r="D20" s="114">
        <f t="shared" si="16"/>
        <v>562</v>
      </c>
      <c r="E20" s="61">
        <f t="shared" si="10"/>
        <v>61.318381572963439</v>
      </c>
      <c r="F20" s="170">
        <v>1.399</v>
      </c>
      <c r="G20" s="43">
        <f t="shared" si="3"/>
        <v>0.93783333333333319</v>
      </c>
      <c r="H20" s="173">
        <v>60.53</v>
      </c>
      <c r="I20" s="205">
        <f t="shared" si="4"/>
        <v>1.0088333333333332</v>
      </c>
      <c r="J20" s="134">
        <f t="shared" si="5"/>
        <v>3.0265</v>
      </c>
      <c r="K20" s="47">
        <f t="shared" si="17"/>
        <v>42.208882150338674</v>
      </c>
      <c r="L20" s="19">
        <f t="shared" si="6"/>
        <v>84.681470000000004</v>
      </c>
      <c r="M20" s="29">
        <f t="shared" si="7"/>
        <v>56.76705166666666</v>
      </c>
      <c r="N20" s="20">
        <f t="shared" si="11"/>
        <v>27.914418333333344</v>
      </c>
      <c r="O20" s="98"/>
      <c r="P20" s="81"/>
      <c r="Q20" s="86"/>
      <c r="R20" s="93"/>
      <c r="S20" s="39"/>
      <c r="T20" s="26"/>
      <c r="U20" s="27"/>
      <c r="V20" s="28"/>
      <c r="W20" s="151">
        <f>AVERAGE(D$14:D21)</f>
        <v>531.375</v>
      </c>
      <c r="X20" s="159">
        <f>AVERAGE(H$13:H21)</f>
        <v>54.837777777777788</v>
      </c>
      <c r="Y20" s="155">
        <f>AVERAGE(F$13:F21)</f>
        <v>1.4145555555555558</v>
      </c>
      <c r="Z20" s="147">
        <f>AVERAGE(L$13:L21)</f>
        <v>77.561539999999994</v>
      </c>
      <c r="AA20" s="161">
        <f>AVERAGE(K$14:K20)</f>
        <v>44.078161108185157</v>
      </c>
      <c r="AB20" s="124"/>
      <c r="AC20" s="125"/>
      <c r="AD20" s="126"/>
      <c r="AE20" s="109" t="e">
        <f t="shared" si="12"/>
        <v>#N/A</v>
      </c>
      <c r="AF20" s="109" t="e">
        <f t="shared" si="8"/>
        <v>#N/A</v>
      </c>
      <c r="AG20" s="94" t="e">
        <f t="shared" si="13"/>
        <v>#N/A</v>
      </c>
      <c r="AH20" s="94" t="e">
        <f t="shared" si="14"/>
        <v>#N/A</v>
      </c>
      <c r="AI20" s="118">
        <f t="shared" si="9"/>
        <v>1.0088333333333332</v>
      </c>
    </row>
    <row r="21" spans="1:35">
      <c r="A21" s="222">
        <v>40931.749305555553</v>
      </c>
      <c r="B21" s="66">
        <f t="shared" si="15"/>
        <v>6.8631944444423425</v>
      </c>
      <c r="C21" s="226">
        <v>121437</v>
      </c>
      <c r="D21" s="114">
        <f t="shared" si="16"/>
        <v>556</v>
      </c>
      <c r="E21" s="61">
        <f t="shared" si="10"/>
        <v>81.011838510598523</v>
      </c>
      <c r="F21" s="170">
        <v>1.419</v>
      </c>
      <c r="G21" s="43">
        <f t="shared" si="3"/>
        <v>0.93783333333333319</v>
      </c>
      <c r="H21" s="173">
        <v>54.61</v>
      </c>
      <c r="I21" s="205">
        <f t="shared" si="4"/>
        <v>0.91016666666666668</v>
      </c>
      <c r="J21" s="134">
        <f t="shared" si="5"/>
        <v>2.7305000000000001</v>
      </c>
      <c r="K21" s="47">
        <f t="shared" si="17"/>
        <v>46.285059243362021</v>
      </c>
      <c r="L21" s="19">
        <f t="shared" si="6"/>
        <v>77.491590000000002</v>
      </c>
      <c r="M21" s="29">
        <f t="shared" si="7"/>
        <v>51.215078333333324</v>
      </c>
      <c r="N21" s="20">
        <f t="shared" si="11"/>
        <v>26.276511666666678</v>
      </c>
      <c r="O21" s="98"/>
      <c r="P21" s="81"/>
      <c r="Q21" s="86"/>
      <c r="R21" s="93"/>
      <c r="S21" s="39"/>
      <c r="T21" s="26"/>
      <c r="U21" s="27"/>
      <c r="V21" s="28"/>
      <c r="W21" s="151">
        <f>AVERAGE(D$14:D22)</f>
        <v>532</v>
      </c>
      <c r="X21" s="159">
        <f>AVERAGE(H$13:H22)</f>
        <v>55.485340000000008</v>
      </c>
      <c r="Y21" s="155">
        <f>AVERAGE(F$13:F22)</f>
        <v>1.4170000000000003</v>
      </c>
      <c r="Z21" s="147">
        <f>AVERAGE(L$13:L22)</f>
        <v>78.62838425999999</v>
      </c>
      <c r="AA21" s="161">
        <f>AVERAGE(K$14:K21)</f>
        <v>44.354023375082264</v>
      </c>
      <c r="AB21" s="124"/>
      <c r="AC21" s="125"/>
      <c r="AD21" s="126"/>
      <c r="AE21" s="109" t="e">
        <f t="shared" si="12"/>
        <v>#N/A</v>
      </c>
      <c r="AF21" s="109" t="e">
        <f t="shared" si="8"/>
        <v>#N/A</v>
      </c>
      <c r="AG21" s="94" t="e">
        <f t="shared" si="13"/>
        <v>#N/A</v>
      </c>
      <c r="AH21" s="94" t="e">
        <f t="shared" si="14"/>
        <v>#N/A</v>
      </c>
      <c r="AI21" s="118" t="e">
        <f t="shared" si="9"/>
        <v>#N/A</v>
      </c>
    </row>
    <row r="22" spans="1:35">
      <c r="A22" s="222">
        <v>40938.529166666667</v>
      </c>
      <c r="B22" s="66">
        <f t="shared" si="15"/>
        <v>6.7798611111138598</v>
      </c>
      <c r="C22" s="226">
        <v>121974</v>
      </c>
      <c r="D22" s="114">
        <f t="shared" si="16"/>
        <v>537</v>
      </c>
      <c r="E22" s="61">
        <f t="shared" si="10"/>
        <v>79.20516234760693</v>
      </c>
      <c r="F22" s="170">
        <v>1.4390000000000001</v>
      </c>
      <c r="G22" s="43">
        <f t="shared" si="3"/>
        <v>0.93783333333333319</v>
      </c>
      <c r="H22" s="173">
        <v>61.313400000000001</v>
      </c>
      <c r="I22" s="205">
        <f t="shared" si="4"/>
        <v>1.02189</v>
      </c>
      <c r="J22" s="134">
        <f t="shared" si="5"/>
        <v>3.0656699999999999</v>
      </c>
      <c r="K22" s="47">
        <f t="shared" si="17"/>
        <v>39.815951155212396</v>
      </c>
      <c r="L22" s="19">
        <f t="shared" si="6"/>
        <v>88.2299826</v>
      </c>
      <c r="M22" s="29">
        <f t="shared" si="7"/>
        <v>57.501750299999991</v>
      </c>
      <c r="N22" s="20">
        <f t="shared" si="11"/>
        <v>30.728232300000009</v>
      </c>
      <c r="O22" s="90">
        <v>40937</v>
      </c>
      <c r="P22" s="82">
        <f>SUM(D19:D22)</f>
        <v>2179</v>
      </c>
      <c r="Q22" s="87">
        <f>AVERAGE(F19:F22)</f>
        <v>1.4165000000000001</v>
      </c>
      <c r="R22" s="94">
        <f>AVERAGE(G19:G22)</f>
        <v>0.93783333333333319</v>
      </c>
      <c r="S22" s="40">
        <f>SUM(H19:H22)</f>
        <v>233.3734</v>
      </c>
      <c r="T22" s="19">
        <f>SUM(L19:L22)</f>
        <v>330.60332260000001</v>
      </c>
      <c r="U22" s="29">
        <f>SUM(M19:M22)</f>
        <v>218.86535363333329</v>
      </c>
      <c r="V22" s="20">
        <f>T22-U22</f>
        <v>111.73796896666673</v>
      </c>
      <c r="W22" s="151">
        <f>AVERAGE(D$14:D23)</f>
        <v>533.70000000000005</v>
      </c>
      <c r="X22" s="159">
        <f>AVERAGE(H$13:H23)</f>
        <v>55.586672727272735</v>
      </c>
      <c r="Y22" s="155">
        <f>AVERAGE(F$13:F23)</f>
        <v>1.4142727272727276</v>
      </c>
      <c r="Z22" s="147">
        <f>AVERAGE(L$13:L23)</f>
        <v>78.617094781818182</v>
      </c>
      <c r="AA22" s="161">
        <f>AVERAGE(K$14:K22)</f>
        <v>43.849793128430058</v>
      </c>
      <c r="AB22" s="124"/>
      <c r="AC22" s="125"/>
      <c r="AD22" s="126"/>
      <c r="AE22" s="109" t="e">
        <f t="shared" si="12"/>
        <v>#N/A</v>
      </c>
      <c r="AF22" s="109" t="e">
        <f t="shared" si="8"/>
        <v>#N/A</v>
      </c>
      <c r="AG22" s="94" t="e">
        <f t="shared" si="13"/>
        <v>#N/A</v>
      </c>
      <c r="AH22" s="94" t="e">
        <f t="shared" si="14"/>
        <v>#N/A</v>
      </c>
      <c r="AI22" s="118">
        <f t="shared" si="9"/>
        <v>1.02189</v>
      </c>
    </row>
    <row r="23" spans="1:35">
      <c r="A23" s="222">
        <v>40945.729166666664</v>
      </c>
      <c r="B23" s="66">
        <f t="shared" si="15"/>
        <v>7.1999999999970896</v>
      </c>
      <c r="C23" s="226">
        <v>122523</v>
      </c>
      <c r="D23" s="114">
        <f t="shared" si="16"/>
        <v>549</v>
      </c>
      <c r="E23" s="61">
        <f t="shared" si="10"/>
        <v>76.250000000030823</v>
      </c>
      <c r="F23" s="170">
        <v>1.387</v>
      </c>
      <c r="G23" s="43">
        <f t="shared" si="3"/>
        <v>0.93783333333333319</v>
      </c>
      <c r="H23" s="173">
        <v>56.6</v>
      </c>
      <c r="I23" s="205">
        <f t="shared" si="4"/>
        <v>0.94333333333333336</v>
      </c>
      <c r="J23" s="134">
        <f t="shared" si="5"/>
        <v>2.83</v>
      </c>
      <c r="K23" s="47">
        <f t="shared" si="17"/>
        <v>44.095484843109539</v>
      </c>
      <c r="L23" s="19">
        <f t="shared" si="6"/>
        <v>78.504199999999997</v>
      </c>
      <c r="M23" s="29">
        <f t="shared" si="7"/>
        <v>53.081366666666661</v>
      </c>
      <c r="N23" s="20">
        <f t="shared" si="11"/>
        <v>25.422833333333337</v>
      </c>
      <c r="O23" s="98"/>
      <c r="P23" s="81"/>
      <c r="Q23" s="86"/>
      <c r="R23" s="93"/>
      <c r="S23" s="39"/>
      <c r="T23" s="26"/>
      <c r="U23" s="27"/>
      <c r="V23" s="28"/>
      <c r="W23" s="151">
        <f>AVERAGE(D$14:D24)</f>
        <v>531.27272727272725</v>
      </c>
      <c r="X23" s="159">
        <f>AVERAGE(H$13:H24)</f>
        <v>55.376116666666668</v>
      </c>
      <c r="Y23" s="155">
        <f>AVERAGE(F$13:F24)</f>
        <v>1.4155</v>
      </c>
      <c r="Z23" s="147">
        <f>AVERAGE(L$13:L24)</f>
        <v>78.384231883333328</v>
      </c>
      <c r="AA23" s="161">
        <f>AVERAGE(K$14:K23)</f>
        <v>43.87436229989801</v>
      </c>
      <c r="AB23" s="124"/>
      <c r="AC23" s="125"/>
      <c r="AD23" s="126"/>
      <c r="AE23" s="109" t="e">
        <f t="shared" si="12"/>
        <v>#N/A</v>
      </c>
      <c r="AF23" s="109">
        <f t="shared" si="8"/>
        <v>78.504199999999997</v>
      </c>
      <c r="AG23" s="94" t="e">
        <f t="shared" si="13"/>
        <v>#N/A</v>
      </c>
      <c r="AH23" s="94">
        <f t="shared" si="14"/>
        <v>1.387</v>
      </c>
      <c r="AI23" s="118" t="e">
        <f t="shared" si="9"/>
        <v>#N/A</v>
      </c>
    </row>
    <row r="24" spans="1:35">
      <c r="A24" s="222">
        <v>40953.342361111114</v>
      </c>
      <c r="B24" s="66">
        <f t="shared" si="15"/>
        <v>7.6131944444496185</v>
      </c>
      <c r="C24" s="226">
        <v>123030</v>
      </c>
      <c r="D24" s="114">
        <f t="shared" si="16"/>
        <v>507</v>
      </c>
      <c r="E24" s="61">
        <f t="shared" si="10"/>
        <v>66.594910152285308</v>
      </c>
      <c r="F24" s="170">
        <v>1.429</v>
      </c>
      <c r="G24" s="43">
        <f t="shared" si="3"/>
        <v>0.93783333333333319</v>
      </c>
      <c r="H24" s="173">
        <v>53.06</v>
      </c>
      <c r="I24" s="205">
        <f t="shared" si="4"/>
        <v>0.88433333333333342</v>
      </c>
      <c r="J24" s="134">
        <f t="shared" si="5"/>
        <v>2.653</v>
      </c>
      <c r="K24" s="47">
        <f t="shared" si="17"/>
        <v>43.438910349792678</v>
      </c>
      <c r="L24" s="19">
        <f t="shared" si="6"/>
        <v>75.82274000000001</v>
      </c>
      <c r="M24" s="29">
        <f t="shared" si="7"/>
        <v>49.761436666666661</v>
      </c>
      <c r="N24" s="20">
        <f t="shared" si="11"/>
        <v>26.061303333333349</v>
      </c>
      <c r="O24" s="98"/>
      <c r="P24" s="81"/>
      <c r="Q24" s="86"/>
      <c r="R24" s="93"/>
      <c r="S24" s="39"/>
      <c r="T24" s="26"/>
      <c r="U24" s="27"/>
      <c r="V24" s="28"/>
      <c r="W24" s="151">
        <f>AVERAGE(D$14:D25)</f>
        <v>529.5</v>
      </c>
      <c r="X24" s="159">
        <f>AVERAGE(H$13:H25)</f>
        <v>55.236415384615384</v>
      </c>
      <c r="Y24" s="155">
        <f>AVERAGE(F$13:F25)</f>
        <v>1.4165384615384615</v>
      </c>
      <c r="Z24" s="147">
        <f>AVERAGE(L$13:L25)</f>
        <v>78.242155584615389</v>
      </c>
      <c r="AA24" s="161">
        <f>AVERAGE(K$14:K24)</f>
        <v>43.83477575897934</v>
      </c>
      <c r="AB24" s="124"/>
      <c r="AC24" s="125"/>
      <c r="AD24" s="126"/>
      <c r="AE24" s="109" t="e">
        <f t="shared" si="12"/>
        <v>#N/A</v>
      </c>
      <c r="AF24" s="109" t="e">
        <f t="shared" si="8"/>
        <v>#N/A</v>
      </c>
      <c r="AG24" s="94" t="e">
        <f t="shared" si="13"/>
        <v>#N/A</v>
      </c>
      <c r="AH24" s="94" t="e">
        <f t="shared" si="14"/>
        <v>#N/A</v>
      </c>
      <c r="AI24" s="118" t="e">
        <f t="shared" si="9"/>
        <v>#N/A</v>
      </c>
    </row>
    <row r="25" spans="1:35">
      <c r="A25" s="222">
        <v>40960.301388888889</v>
      </c>
      <c r="B25" s="66">
        <f t="shared" si="15"/>
        <v>6.9590277777751908</v>
      </c>
      <c r="C25" s="226">
        <v>123540</v>
      </c>
      <c r="D25" s="114">
        <f t="shared" si="16"/>
        <v>510</v>
      </c>
      <c r="E25" s="61">
        <f t="shared" si="10"/>
        <v>73.286099191724674</v>
      </c>
      <c r="F25" s="170">
        <v>1.429</v>
      </c>
      <c r="G25" s="43">
        <f t="shared" si="3"/>
        <v>0.93783333333333319</v>
      </c>
      <c r="H25" s="173">
        <v>53.56</v>
      </c>
      <c r="I25" s="205">
        <f t="shared" si="4"/>
        <v>0.89266666666666672</v>
      </c>
      <c r="J25" s="134">
        <f t="shared" si="5"/>
        <v>2.6779999999999999</v>
      </c>
      <c r="K25" s="47">
        <f t="shared" si="17"/>
        <v>43.288029477221805</v>
      </c>
      <c r="L25" s="19">
        <f t="shared" si="6"/>
        <v>76.537240000000011</v>
      </c>
      <c r="M25" s="29">
        <f t="shared" si="7"/>
        <v>50.230353333333326</v>
      </c>
      <c r="N25" s="20">
        <f t="shared" si="11"/>
        <v>26.306886666666685</v>
      </c>
      <c r="O25" s="98"/>
      <c r="P25" s="81"/>
      <c r="Q25" s="86"/>
      <c r="R25" s="93"/>
      <c r="S25" s="39"/>
      <c r="T25" s="26"/>
      <c r="U25" s="27"/>
      <c r="V25" s="28"/>
      <c r="W25" s="151">
        <f>AVERAGE(D$14:D26)</f>
        <v>524.07692307692309</v>
      </c>
      <c r="X25" s="159">
        <f>AVERAGE(H$13:H26)</f>
        <v>54.587385714285709</v>
      </c>
      <c r="Y25" s="155">
        <f>AVERAGE(F$13:F26)</f>
        <v>1.4159999999999999</v>
      </c>
      <c r="Z25" s="147">
        <f>AVERAGE(L$13:L26)</f>
        <v>77.298098042857148</v>
      </c>
      <c r="AA25" s="161">
        <f>AVERAGE(K$14:K25)</f>
        <v>43.789213568832878</v>
      </c>
      <c r="AB25" s="124"/>
      <c r="AC25" s="125"/>
      <c r="AD25" s="126"/>
      <c r="AE25" s="109" t="e">
        <f t="shared" si="12"/>
        <v>#N/A</v>
      </c>
      <c r="AF25" s="109" t="e">
        <f t="shared" si="8"/>
        <v>#N/A</v>
      </c>
      <c r="AG25" s="94" t="e">
        <f t="shared" si="13"/>
        <v>#N/A</v>
      </c>
      <c r="AH25" s="94" t="e">
        <f t="shared" si="14"/>
        <v>#N/A</v>
      </c>
      <c r="AI25" s="118" t="e">
        <f t="shared" si="9"/>
        <v>#N/A</v>
      </c>
    </row>
    <row r="26" spans="1:35">
      <c r="A26" s="222">
        <v>40966.727777777778</v>
      </c>
      <c r="B26" s="66">
        <f t="shared" si="15"/>
        <v>6.4263888888890506</v>
      </c>
      <c r="C26" s="226">
        <v>123999</v>
      </c>
      <c r="D26" s="114">
        <f t="shared" si="16"/>
        <v>459</v>
      </c>
      <c r="E26" s="61">
        <f t="shared" si="10"/>
        <v>71.424248973415104</v>
      </c>
      <c r="F26" s="170">
        <v>1.409</v>
      </c>
      <c r="G26" s="43">
        <f t="shared" si="3"/>
        <v>0.93783333333333319</v>
      </c>
      <c r="H26" s="173">
        <v>46.15</v>
      </c>
      <c r="I26" s="205">
        <f t="shared" si="4"/>
        <v>0.76916666666666667</v>
      </c>
      <c r="J26" s="134">
        <f t="shared" si="5"/>
        <v>2.3075000000000001</v>
      </c>
      <c r="K26" s="47">
        <f t="shared" si="17"/>
        <v>45.214651634236183</v>
      </c>
      <c r="L26" s="19">
        <f t="shared" si="6"/>
        <v>65.025350000000003</v>
      </c>
      <c r="M26" s="29">
        <f t="shared" si="7"/>
        <v>43.281008333333325</v>
      </c>
      <c r="N26" s="20">
        <f t="shared" si="11"/>
        <v>21.744341666666678</v>
      </c>
      <c r="O26" s="90">
        <v>40967</v>
      </c>
      <c r="P26" s="82">
        <f>SUM(D23:D26)</f>
        <v>2025</v>
      </c>
      <c r="Q26" s="87">
        <f>AVERAGE(F23:F26)</f>
        <v>1.4135</v>
      </c>
      <c r="R26" s="94">
        <f>AVERAGE(G23:G26)</f>
        <v>0.93783333333333319</v>
      </c>
      <c r="S26" s="40">
        <f>SUM(H23:H26)</f>
        <v>209.37</v>
      </c>
      <c r="T26" s="19">
        <f>SUM(L23:L26)</f>
        <v>295.88953000000004</v>
      </c>
      <c r="U26" s="29">
        <f>SUM(M23:M26)</f>
        <v>196.35416499999997</v>
      </c>
      <c r="V26" s="20">
        <f>T26-U26</f>
        <v>99.53536500000007</v>
      </c>
      <c r="W26" s="151">
        <f>AVERAGE(D$14:D27)</f>
        <v>525</v>
      </c>
      <c r="X26" s="159">
        <f>AVERAGE(H$13:H27)</f>
        <v>54.656893333333329</v>
      </c>
      <c r="Y26" s="155">
        <f>AVERAGE(F$13:F27)</f>
        <v>1.4153999999999998</v>
      </c>
      <c r="Z26" s="147">
        <f>AVERAGE(L$13:L27)</f>
        <v>77.362985506666675</v>
      </c>
      <c r="AA26" s="161">
        <f>AVERAGE(K$14:K26)</f>
        <v>43.898862650786974</v>
      </c>
      <c r="AB26" s="127"/>
      <c r="AC26" s="128"/>
      <c r="AD26" s="129"/>
      <c r="AE26" s="109" t="e">
        <f t="shared" si="12"/>
        <v>#N/A</v>
      </c>
      <c r="AF26" s="109" t="e">
        <f t="shared" si="8"/>
        <v>#N/A</v>
      </c>
      <c r="AG26" s="94" t="e">
        <f t="shared" si="13"/>
        <v>#N/A</v>
      </c>
      <c r="AH26" s="94" t="e">
        <f t="shared" si="14"/>
        <v>#N/A</v>
      </c>
      <c r="AI26" s="118" t="e">
        <f t="shared" si="9"/>
        <v>#N/A</v>
      </c>
    </row>
    <row r="27" spans="1:35">
      <c r="A27" s="223">
        <v>40973.725694444445</v>
      </c>
      <c r="B27" s="66">
        <f t="shared" si="15"/>
        <v>6.9979166666671517</v>
      </c>
      <c r="C27" s="226">
        <v>124536</v>
      </c>
      <c r="D27" s="114">
        <f t="shared" si="16"/>
        <v>537</v>
      </c>
      <c r="E27" s="61">
        <f t="shared" si="10"/>
        <v>76.737124144085186</v>
      </c>
      <c r="F27" s="170">
        <v>1.407</v>
      </c>
      <c r="G27" s="44">
        <f t="shared" si="3"/>
        <v>0.93783333333333319</v>
      </c>
      <c r="H27" s="173">
        <v>55.63</v>
      </c>
      <c r="I27" s="205">
        <f t="shared" si="4"/>
        <v>0.92716666666666669</v>
      </c>
      <c r="J27" s="134">
        <f t="shared" si="5"/>
        <v>2.7815000000000003</v>
      </c>
      <c r="K27" s="47">
        <f t="shared" si="17"/>
        <v>43.883719927377307</v>
      </c>
      <c r="L27" s="19">
        <f t="shared" si="6"/>
        <v>78.271410000000003</v>
      </c>
      <c r="M27" s="29">
        <f t="shared" si="7"/>
        <v>52.171668333333329</v>
      </c>
      <c r="N27" s="20">
        <f t="shared" si="11"/>
        <v>26.099741666666674</v>
      </c>
      <c r="O27" s="98"/>
      <c r="P27" s="81"/>
      <c r="Q27" s="86"/>
      <c r="R27" s="93"/>
      <c r="S27" s="39"/>
      <c r="T27" s="26"/>
      <c r="U27" s="27"/>
      <c r="V27" s="28"/>
      <c r="W27" s="151">
        <f>AVERAGE(D$14:D28)</f>
        <v>527</v>
      </c>
      <c r="X27" s="159">
        <f>AVERAGE(H$13:H28)</f>
        <v>54.742712499999996</v>
      </c>
      <c r="Y27" s="155">
        <f>AVERAGE(F$13:F28)</f>
        <v>1.4162499999999998</v>
      </c>
      <c r="Z27" s="147">
        <f>AVERAGE(L$13:L28)</f>
        <v>77.53197828750001</v>
      </c>
      <c r="AA27" s="161">
        <f>AVERAGE(K$14:K27)</f>
        <v>43.897781027686285</v>
      </c>
      <c r="AB27" s="124"/>
      <c r="AC27" s="125"/>
      <c r="AD27" s="126"/>
      <c r="AE27" s="109" t="e">
        <f t="shared" si="12"/>
        <v>#N/A</v>
      </c>
      <c r="AF27" s="109" t="e">
        <f t="shared" si="8"/>
        <v>#N/A</v>
      </c>
      <c r="AG27" s="94" t="e">
        <f t="shared" si="13"/>
        <v>#N/A</v>
      </c>
      <c r="AH27" s="94" t="e">
        <f t="shared" si="14"/>
        <v>#N/A</v>
      </c>
      <c r="AI27" s="118" t="e">
        <f t="shared" si="9"/>
        <v>#N/A</v>
      </c>
    </row>
    <row r="28" spans="1:35">
      <c r="A28" s="222">
        <v>40980.730555555558</v>
      </c>
      <c r="B28" s="66">
        <f t="shared" si="15"/>
        <v>7.0048611111124046</v>
      </c>
      <c r="C28" s="226">
        <v>125091</v>
      </c>
      <c r="D28" s="114">
        <f t="shared" si="16"/>
        <v>555</v>
      </c>
      <c r="E28" s="61">
        <f t="shared" si="10"/>
        <v>79.230692971136349</v>
      </c>
      <c r="F28" s="170">
        <v>1.429</v>
      </c>
      <c r="G28" s="43">
        <f t="shared" si="3"/>
        <v>0.93783333333333319</v>
      </c>
      <c r="H28" s="174">
        <v>56.03</v>
      </c>
      <c r="I28" s="205">
        <f t="shared" si="4"/>
        <v>0.9338333333333334</v>
      </c>
      <c r="J28" s="134">
        <f t="shared" si="5"/>
        <v>2.8014999999999999</v>
      </c>
      <c r="K28" s="47">
        <f t="shared" si="17"/>
        <v>45.030894046046761</v>
      </c>
      <c r="L28" s="19">
        <f t="shared" si="6"/>
        <v>80.066870000000009</v>
      </c>
      <c r="M28" s="29">
        <f t="shared" si="7"/>
        <v>52.54680166666666</v>
      </c>
      <c r="N28" s="20">
        <f t="shared" si="11"/>
        <v>27.520068333333349</v>
      </c>
      <c r="O28" s="98"/>
      <c r="P28" s="81"/>
      <c r="Q28" s="86"/>
      <c r="R28" s="93"/>
      <c r="S28" s="39"/>
      <c r="T28" s="26"/>
      <c r="U28" s="27"/>
      <c r="V28" s="28"/>
      <c r="W28" s="151">
        <f>AVERAGE(D$14:D29)</f>
        <v>527.3125</v>
      </c>
      <c r="X28" s="159">
        <f>AVERAGE(H$13:H29)</f>
        <v>54.770199999999996</v>
      </c>
      <c r="Y28" s="155">
        <f>AVERAGE(F$13:F29)</f>
        <v>1.4187647058823527</v>
      </c>
      <c r="Z28" s="147">
        <f>AVERAGE(L$13:L29)</f>
        <v>77.709590741176484</v>
      </c>
      <c r="AA28" s="161">
        <f>AVERAGE(K$14:K28)</f>
        <v>43.973321895576987</v>
      </c>
      <c r="AB28" s="124"/>
      <c r="AC28" s="125"/>
      <c r="AD28" s="126"/>
      <c r="AE28" s="109" t="e">
        <f t="shared" si="12"/>
        <v>#N/A</v>
      </c>
      <c r="AF28" s="109" t="e">
        <f t="shared" si="8"/>
        <v>#N/A</v>
      </c>
      <c r="AG28" s="94" t="e">
        <f t="shared" si="13"/>
        <v>#N/A</v>
      </c>
      <c r="AH28" s="94" t="e">
        <f t="shared" si="14"/>
        <v>#N/A</v>
      </c>
      <c r="AI28" s="118" t="e">
        <f t="shared" si="9"/>
        <v>#N/A</v>
      </c>
    </row>
    <row r="29" spans="1:35">
      <c r="A29" s="223">
        <v>40986.539583333331</v>
      </c>
      <c r="B29" s="66">
        <f t="shared" si="15"/>
        <v>5.8090277777737356</v>
      </c>
      <c r="C29" s="226">
        <v>125623</v>
      </c>
      <c r="D29" s="114">
        <f t="shared" si="16"/>
        <v>532</v>
      </c>
      <c r="E29" s="61">
        <f t="shared" si="10"/>
        <v>91.581589958222722</v>
      </c>
      <c r="F29" s="171">
        <v>1.4590000000000001</v>
      </c>
      <c r="G29" s="44">
        <f t="shared" si="3"/>
        <v>0.93783333333333319</v>
      </c>
      <c r="H29" s="175">
        <v>55.21</v>
      </c>
      <c r="I29" s="205">
        <f t="shared" si="4"/>
        <v>0.92016666666666669</v>
      </c>
      <c r="J29" s="135">
        <f t="shared" si="5"/>
        <v>2.7605</v>
      </c>
      <c r="K29" s="138">
        <f t="shared" si="17"/>
        <v>43.805848218800939</v>
      </c>
      <c r="L29" s="51">
        <f t="shared" si="6"/>
        <v>80.551390000000012</v>
      </c>
      <c r="M29" s="52">
        <f t="shared" si="7"/>
        <v>51.777778333333323</v>
      </c>
      <c r="N29" s="53">
        <f t="shared" si="11"/>
        <v>28.773611666666689</v>
      </c>
      <c r="O29" s="99"/>
      <c r="P29" s="83"/>
      <c r="Q29" s="88"/>
      <c r="R29" s="95"/>
      <c r="S29" s="54"/>
      <c r="T29" s="55"/>
      <c r="U29" s="56"/>
      <c r="V29" s="57"/>
      <c r="W29" s="151">
        <f>AVERAGE(D$14:D30)</f>
        <v>526.88235294117646</v>
      </c>
      <c r="X29" s="159">
        <f>AVERAGE(H$13:H30)</f>
        <v>54.752966666666666</v>
      </c>
      <c r="Y29" s="155">
        <f>AVERAGE(F$13:F30)</f>
        <v>1.4215555555555555</v>
      </c>
      <c r="Z29" s="147">
        <f>AVERAGE(L$13:L30)</f>
        <v>77.836932366666673</v>
      </c>
      <c r="AA29" s="161">
        <f>AVERAGE(K$14:K29)</f>
        <v>43.962854790778486</v>
      </c>
      <c r="AB29" s="124"/>
      <c r="AC29" s="125"/>
      <c r="AD29" s="126"/>
      <c r="AE29" s="109" t="e">
        <f t="shared" si="12"/>
        <v>#N/A</v>
      </c>
      <c r="AF29" s="109" t="e">
        <f t="shared" si="8"/>
        <v>#N/A</v>
      </c>
      <c r="AG29" s="94" t="e">
        <f t="shared" si="13"/>
        <v>#N/A</v>
      </c>
      <c r="AH29" s="94" t="e">
        <f t="shared" si="14"/>
        <v>#N/A</v>
      </c>
      <c r="AI29" s="118" t="e">
        <f t="shared" si="9"/>
        <v>#N/A</v>
      </c>
    </row>
    <row r="30" spans="1:35">
      <c r="A30" s="222">
        <v>40993.867361111108</v>
      </c>
      <c r="B30" s="66">
        <f t="shared" si="15"/>
        <v>7.327777777776646</v>
      </c>
      <c r="C30" s="226">
        <v>126143</v>
      </c>
      <c r="D30" s="114">
        <f t="shared" si="16"/>
        <v>520</v>
      </c>
      <c r="E30" s="61">
        <f t="shared" si="10"/>
        <v>70.962850644438561</v>
      </c>
      <c r="F30" s="170">
        <v>1.4690000000000001</v>
      </c>
      <c r="G30" s="44">
        <f t="shared" si="3"/>
        <v>0.93783333333333319</v>
      </c>
      <c r="H30" s="173">
        <v>54.46</v>
      </c>
      <c r="I30" s="205">
        <f t="shared" si="4"/>
        <v>0.90766666666666673</v>
      </c>
      <c r="J30" s="135">
        <f t="shared" si="5"/>
        <v>2.7229999999999999</v>
      </c>
      <c r="K30" s="138">
        <f>D30/(H30/4.54609188)</f>
        <v>43.407414204921039</v>
      </c>
      <c r="L30" s="51">
        <f t="shared" si="6"/>
        <v>80.001740000000012</v>
      </c>
      <c r="M30" s="52">
        <f t="shared" si="7"/>
        <v>51.074403333333329</v>
      </c>
      <c r="N30" s="53">
        <f t="shared" si="11"/>
        <v>28.927336666666683</v>
      </c>
      <c r="O30" s="91">
        <v>40997</v>
      </c>
      <c r="P30" s="82">
        <f>SUM(D27:D30)</f>
        <v>2144</v>
      </c>
      <c r="Q30" s="87">
        <f>AVERAGE(F27:F30)</f>
        <v>1.4410000000000001</v>
      </c>
      <c r="R30" s="94">
        <f>AVERAGE(G27:G30)</f>
        <v>0.93783333333333319</v>
      </c>
      <c r="S30" s="40">
        <f>SUM(H27:H30)</f>
        <v>221.33</v>
      </c>
      <c r="T30" s="19">
        <f>SUM(L27:L30)</f>
        <v>318.89141000000006</v>
      </c>
      <c r="U30" s="29">
        <f>SUM(M27:M30)</f>
        <v>207.57065166666663</v>
      </c>
      <c r="V30" s="20">
        <f>T30-U30</f>
        <v>111.32075833333343</v>
      </c>
      <c r="W30" s="151">
        <f>AVERAGE(D$14:D31)</f>
        <v>-6510.333333333333</v>
      </c>
      <c r="X30" s="159">
        <f>AVERAGE(H$13:H31)</f>
        <v>54.752966666666666</v>
      </c>
      <c r="Y30" s="155">
        <f>AVERAGE(F$13:F31)</f>
        <v>1.4215555555555555</v>
      </c>
      <c r="Z30" s="147">
        <f>AVERAGE(L$13:L31)</f>
        <v>73.740251715789483</v>
      </c>
      <c r="AA30" s="161">
        <f>AVERAGE(K$14:K30)</f>
        <v>43.930181815139811</v>
      </c>
      <c r="AB30" s="19">
        <f>AVERAGE(T$18,T$22,T$26,T$30)</f>
        <v>311.27797065000004</v>
      </c>
      <c r="AC30" s="29">
        <f>AVERAGE(U$18,U$22,U$26,U$30)</f>
        <v>205.39802007499998</v>
      </c>
      <c r="AD30" s="20">
        <f>AVERAGE(V$18,V$22,V$26,V$30)</f>
        <v>105.87995057500007</v>
      </c>
      <c r="AE30" s="109">
        <f t="shared" si="12"/>
        <v>80.001740000000012</v>
      </c>
      <c r="AF30" s="109" t="e">
        <f t="shared" si="8"/>
        <v>#N/A</v>
      </c>
      <c r="AG30" s="94">
        <f t="shared" si="13"/>
        <v>1.4690000000000001</v>
      </c>
      <c r="AH30" s="94" t="e">
        <f t="shared" si="14"/>
        <v>#N/A</v>
      </c>
      <c r="AI30" s="118" t="e">
        <f t="shared" si="9"/>
        <v>#N/A</v>
      </c>
    </row>
    <row r="31" spans="1:35">
      <c r="A31" s="222"/>
      <c r="B31" s="66">
        <f>A31-A30</f>
        <v>-40993.867361111108</v>
      </c>
      <c r="C31" s="226"/>
      <c r="D31" s="114">
        <f t="shared" si="16"/>
        <v>-126143</v>
      </c>
      <c r="E31" s="61">
        <f t="shared" si="10"/>
        <v>3.0771188014250574</v>
      </c>
      <c r="F31" s="12"/>
      <c r="G31" s="44">
        <f t="shared" si="3"/>
        <v>0.93783333333333319</v>
      </c>
      <c r="H31" s="229"/>
      <c r="I31" s="205">
        <f t="shared" si="4"/>
        <v>0</v>
      </c>
      <c r="J31" s="135">
        <f t="shared" si="5"/>
        <v>0</v>
      </c>
      <c r="K31" s="138" t="e">
        <f>D31/(H31/4.54609188)</f>
        <v>#DIV/0!</v>
      </c>
      <c r="L31" s="51">
        <f t="shared" si="6"/>
        <v>0</v>
      </c>
      <c r="M31" s="52">
        <f t="shared" si="7"/>
        <v>0</v>
      </c>
      <c r="N31" s="53">
        <f t="shared" si="11"/>
        <v>0</v>
      </c>
      <c r="O31" s="99"/>
      <c r="P31" s="83"/>
      <c r="Q31" s="86"/>
      <c r="R31" s="93"/>
      <c r="S31" s="39"/>
      <c r="T31" s="26"/>
      <c r="U31" s="27"/>
      <c r="V31" s="28"/>
      <c r="W31" s="151">
        <f>AVERAGE(D$14:D32)</f>
        <v>-6167.6842105263158</v>
      </c>
      <c r="X31" s="159">
        <f>AVERAGE(H$13:H32)</f>
        <v>54.752966666666666</v>
      </c>
      <c r="Y31" s="155">
        <f>AVERAGE(F$13:F32)</f>
        <v>1.4215555555555555</v>
      </c>
      <c r="Z31" s="147">
        <f>AVERAGE(L$13:L32)</f>
        <v>70.053239130000009</v>
      </c>
      <c r="AA31" s="161" t="e">
        <f>AVERAGE(K$14:K31)</f>
        <v>#DIV/0!</v>
      </c>
      <c r="AB31" s="124"/>
      <c r="AC31" s="125"/>
      <c r="AD31" s="126"/>
      <c r="AE31" s="109" t="e">
        <f t="shared" si="12"/>
        <v>#N/A</v>
      </c>
      <c r="AF31" s="109" t="e">
        <f t="shared" si="8"/>
        <v>#N/A</v>
      </c>
      <c r="AG31" s="94" t="e">
        <f t="shared" si="13"/>
        <v>#N/A</v>
      </c>
      <c r="AH31" s="94" t="e">
        <f t="shared" si="14"/>
        <v>#N/A</v>
      </c>
      <c r="AI31" s="118" t="e">
        <f t="shared" si="9"/>
        <v>#N/A</v>
      </c>
    </row>
    <row r="32" spans="1:35">
      <c r="A32" s="222"/>
      <c r="B32" s="66">
        <f>A32-A31</f>
        <v>0</v>
      </c>
      <c r="C32" s="227"/>
      <c r="D32" s="114">
        <f t="shared" si="16"/>
        <v>0</v>
      </c>
      <c r="E32" s="61" t="e">
        <f t="shared" si="10"/>
        <v>#DIV/0!</v>
      </c>
      <c r="F32" s="12"/>
      <c r="G32" s="44">
        <f t="shared" si="3"/>
        <v>0.93783333333333319</v>
      </c>
      <c r="H32" s="229"/>
      <c r="I32" s="205">
        <f t="shared" si="4"/>
        <v>0</v>
      </c>
      <c r="J32" s="135">
        <f t="shared" si="5"/>
        <v>0</v>
      </c>
      <c r="K32" s="138" t="e">
        <f>D32/(H32/4.54609188)</f>
        <v>#DIV/0!</v>
      </c>
      <c r="L32" s="51">
        <f t="shared" si="6"/>
        <v>0</v>
      </c>
      <c r="M32" s="52">
        <f t="shared" si="7"/>
        <v>0</v>
      </c>
      <c r="N32" s="53">
        <f t="shared" si="11"/>
        <v>0</v>
      </c>
      <c r="O32" s="99"/>
      <c r="P32" s="83"/>
      <c r="Q32" s="86"/>
      <c r="R32" s="93"/>
      <c r="S32" s="39"/>
      <c r="T32" s="26"/>
      <c r="U32" s="27"/>
      <c r="V32" s="28"/>
      <c r="W32" s="151">
        <f>AVERAGE(D$14:D33)</f>
        <v>-5859.3</v>
      </c>
      <c r="X32" s="159">
        <f>AVERAGE(H$13:H33)</f>
        <v>54.752966666666666</v>
      </c>
      <c r="Y32" s="155">
        <f>AVERAGE(F$13:F33)</f>
        <v>1.4215555555555555</v>
      </c>
      <c r="Z32" s="147">
        <f>AVERAGE(L$13:L33)</f>
        <v>66.71737060000001</v>
      </c>
      <c r="AA32" s="161" t="e">
        <f>AVERAGE(K$14:K32)</f>
        <v>#DIV/0!</v>
      </c>
      <c r="AB32" s="124"/>
      <c r="AC32" s="125"/>
      <c r="AD32" s="126"/>
      <c r="AE32" s="109" t="e">
        <f t="shared" si="12"/>
        <v>#N/A</v>
      </c>
      <c r="AF32" s="109" t="e">
        <f t="shared" si="8"/>
        <v>#N/A</v>
      </c>
      <c r="AG32" s="94" t="e">
        <f t="shared" si="13"/>
        <v>#N/A</v>
      </c>
      <c r="AH32" s="94" t="e">
        <f t="shared" si="14"/>
        <v>#N/A</v>
      </c>
      <c r="AI32" s="118" t="e">
        <f t="shared" si="9"/>
        <v>#N/A</v>
      </c>
    </row>
    <row r="33" spans="1:35">
      <c r="A33" s="222"/>
      <c r="B33" s="66">
        <f t="shared" si="15"/>
        <v>0</v>
      </c>
      <c r="C33" s="227"/>
      <c r="D33" s="114">
        <f t="shared" si="16"/>
        <v>0</v>
      </c>
      <c r="E33" s="61" t="e">
        <f t="shared" si="10"/>
        <v>#DIV/0!</v>
      </c>
      <c r="F33" s="12"/>
      <c r="G33" s="44">
        <f t="shared" si="3"/>
        <v>0.93783333333333319</v>
      </c>
      <c r="H33" s="229"/>
      <c r="I33" s="205">
        <f t="shared" si="4"/>
        <v>0</v>
      </c>
      <c r="J33" s="135">
        <f t="shared" si="5"/>
        <v>0</v>
      </c>
      <c r="K33" s="138" t="e">
        <f t="shared" si="17"/>
        <v>#DIV/0!</v>
      </c>
      <c r="L33" s="51">
        <f t="shared" si="6"/>
        <v>0</v>
      </c>
      <c r="M33" s="52">
        <f t="shared" si="7"/>
        <v>0</v>
      </c>
      <c r="N33" s="53">
        <f t="shared" si="11"/>
        <v>0</v>
      </c>
      <c r="O33" s="99"/>
      <c r="P33" s="83"/>
      <c r="Q33" s="86"/>
      <c r="R33" s="93"/>
      <c r="S33" s="39"/>
      <c r="T33" s="26"/>
      <c r="U33" s="27"/>
      <c r="V33" s="28"/>
      <c r="W33" s="151">
        <f>AVERAGE(D$14:D34)</f>
        <v>-5580.2857142857147</v>
      </c>
      <c r="X33" s="159">
        <f>AVERAGE(H$13:H34)</f>
        <v>54.752966666666666</v>
      </c>
      <c r="Y33" s="155">
        <f>AVERAGE(F$13:F34)</f>
        <v>1.4215555555555555</v>
      </c>
      <c r="Z33" s="147">
        <f>AVERAGE(L$13:L34)</f>
        <v>63.68476284545455</v>
      </c>
      <c r="AA33" s="161" t="e">
        <f>AVERAGE(K$14:K33)</f>
        <v>#DIV/0!</v>
      </c>
      <c r="AB33" s="124"/>
      <c r="AC33" s="125"/>
      <c r="AD33" s="126"/>
      <c r="AE33" s="109" t="e">
        <f t="shared" si="12"/>
        <v>#N/A</v>
      </c>
      <c r="AF33" s="109" t="e">
        <f t="shared" si="8"/>
        <v>#N/A</v>
      </c>
      <c r="AG33" s="94" t="e">
        <f t="shared" si="13"/>
        <v>#N/A</v>
      </c>
      <c r="AH33" s="94" t="e">
        <f t="shared" si="14"/>
        <v>#N/A</v>
      </c>
      <c r="AI33" s="118" t="e">
        <f t="shared" si="9"/>
        <v>#N/A</v>
      </c>
    </row>
    <row r="34" spans="1:35">
      <c r="A34" s="222"/>
      <c r="B34" s="66">
        <f t="shared" si="15"/>
        <v>0</v>
      </c>
      <c r="C34" s="227"/>
      <c r="D34" s="114">
        <f t="shared" si="16"/>
        <v>0</v>
      </c>
      <c r="E34" s="61" t="e">
        <f t="shared" si="10"/>
        <v>#DIV/0!</v>
      </c>
      <c r="F34" s="12"/>
      <c r="G34" s="44">
        <f t="shared" si="3"/>
        <v>0.93783333333333319</v>
      </c>
      <c r="H34" s="229"/>
      <c r="I34" s="205">
        <f t="shared" si="4"/>
        <v>0</v>
      </c>
      <c r="J34" s="135">
        <f t="shared" si="5"/>
        <v>0</v>
      </c>
      <c r="K34" s="138" t="e">
        <f t="shared" si="17"/>
        <v>#DIV/0!</v>
      </c>
      <c r="L34" s="51">
        <f t="shared" si="6"/>
        <v>0</v>
      </c>
      <c r="M34" s="52">
        <f t="shared" si="7"/>
        <v>0</v>
      </c>
      <c r="N34" s="53">
        <f t="shared" si="11"/>
        <v>0</v>
      </c>
      <c r="O34" s="99"/>
      <c r="P34" s="82">
        <f>SUM(D31:D34)</f>
        <v>-126143</v>
      </c>
      <c r="Q34" s="87" t="e">
        <f>AVERAGE(F31:F34)</f>
        <v>#DIV/0!</v>
      </c>
      <c r="R34" s="94">
        <f>AVERAGE(G31:G34)</f>
        <v>0.93783333333333319</v>
      </c>
      <c r="S34" s="40">
        <f>SUM(H31:H34)</f>
        <v>0</v>
      </c>
      <c r="T34" s="19">
        <f>SUM(L31:L34)</f>
        <v>0</v>
      </c>
      <c r="U34" s="29">
        <f>SUM(M31:M34)</f>
        <v>0</v>
      </c>
      <c r="V34" s="20">
        <f>T34-U34</f>
        <v>0</v>
      </c>
      <c r="W34" s="151">
        <f>AVERAGE(D$14:D35)</f>
        <v>-5326.636363636364</v>
      </c>
      <c r="X34" s="159">
        <f>AVERAGE(H$13:H35)</f>
        <v>54.752966666666666</v>
      </c>
      <c r="Y34" s="155">
        <f>AVERAGE(F$13:F35)</f>
        <v>1.4215555555555555</v>
      </c>
      <c r="Z34" s="147">
        <f>AVERAGE(L$13:L35)</f>
        <v>60.915860113043486</v>
      </c>
      <c r="AA34" s="161" t="e">
        <f>AVERAGE(K$14:K34)</f>
        <v>#DIV/0!</v>
      </c>
      <c r="AB34" s="19">
        <f>AVERAGE(T$18,T$22,T$26,T$30,T34)</f>
        <v>249.02237652000002</v>
      </c>
      <c r="AC34" s="29">
        <f>AVERAGE(U$18,U$22,U$26,U$30)</f>
        <v>205.39802007499998</v>
      </c>
      <c r="AD34" s="20">
        <f>AVERAGE(V$18,V$22,V$26,V$30)</f>
        <v>105.87995057500007</v>
      </c>
      <c r="AE34" s="109" t="e">
        <f t="shared" si="12"/>
        <v>#N/A</v>
      </c>
      <c r="AF34" s="109" t="e">
        <f t="shared" si="8"/>
        <v>#N/A</v>
      </c>
      <c r="AG34" s="94" t="e">
        <f t="shared" si="13"/>
        <v>#N/A</v>
      </c>
      <c r="AH34" s="94" t="e">
        <f t="shared" si="14"/>
        <v>#N/A</v>
      </c>
      <c r="AI34" s="118" t="e">
        <f t="shared" si="9"/>
        <v>#N/A</v>
      </c>
    </row>
    <row r="35" spans="1:35">
      <c r="A35" s="222"/>
      <c r="B35" s="66">
        <f t="shared" si="15"/>
        <v>0</v>
      </c>
      <c r="C35" s="227"/>
      <c r="D35" s="114">
        <f t="shared" si="16"/>
        <v>0</v>
      </c>
      <c r="E35" s="61" t="e">
        <f t="shared" si="10"/>
        <v>#DIV/0!</v>
      </c>
      <c r="F35" s="12"/>
      <c r="G35" s="44">
        <f t="shared" si="3"/>
        <v>0.93783333333333319</v>
      </c>
      <c r="H35" s="229"/>
      <c r="I35" s="205">
        <f t="shared" si="4"/>
        <v>0</v>
      </c>
      <c r="J35" s="135">
        <f t="shared" si="5"/>
        <v>0</v>
      </c>
      <c r="K35" s="138" t="e">
        <f t="shared" si="17"/>
        <v>#DIV/0!</v>
      </c>
      <c r="L35" s="51">
        <f t="shared" si="6"/>
        <v>0</v>
      </c>
      <c r="M35" s="52">
        <f t="shared" si="7"/>
        <v>0</v>
      </c>
      <c r="N35" s="53">
        <f t="shared" si="11"/>
        <v>0</v>
      </c>
      <c r="O35" s="99"/>
      <c r="P35" s="83"/>
      <c r="Q35" s="86"/>
      <c r="R35" s="93"/>
      <c r="S35" s="39"/>
      <c r="T35" s="26"/>
      <c r="U35" s="27"/>
      <c r="V35" s="28"/>
      <c r="W35" s="151">
        <f>AVERAGE(D$14:D36)</f>
        <v>-5095.04347826087</v>
      </c>
      <c r="X35" s="159">
        <f>AVERAGE(H$13:H36)</f>
        <v>54.752966666666666</v>
      </c>
      <c r="Y35" s="155">
        <f>AVERAGE(F$13:F36)</f>
        <v>1.4215555555555555</v>
      </c>
      <c r="Z35" s="147">
        <f>AVERAGE(L$13:L36)</f>
        <v>58.377699275000005</v>
      </c>
      <c r="AA35" s="161" t="e">
        <f>AVERAGE(K$14:K35)</f>
        <v>#DIV/0!</v>
      </c>
      <c r="AB35" s="124"/>
      <c r="AC35" s="125"/>
      <c r="AD35" s="126"/>
      <c r="AE35" s="109" t="e">
        <f t="shared" si="12"/>
        <v>#N/A</v>
      </c>
      <c r="AF35" s="109" t="e">
        <f t="shared" si="8"/>
        <v>#N/A</v>
      </c>
      <c r="AG35" s="94" t="e">
        <f t="shared" si="13"/>
        <v>#N/A</v>
      </c>
      <c r="AH35" s="94" t="e">
        <f t="shared" si="14"/>
        <v>#N/A</v>
      </c>
      <c r="AI35" s="118" t="e">
        <f t="shared" si="9"/>
        <v>#N/A</v>
      </c>
    </row>
    <row r="36" spans="1:35">
      <c r="A36" s="222"/>
      <c r="B36" s="66">
        <f t="shared" si="15"/>
        <v>0</v>
      </c>
      <c r="C36" s="227"/>
      <c r="D36" s="114">
        <f t="shared" si="16"/>
        <v>0</v>
      </c>
      <c r="E36" s="61" t="e">
        <f t="shared" si="10"/>
        <v>#DIV/0!</v>
      </c>
      <c r="F36" s="12"/>
      <c r="G36" s="44">
        <f t="shared" si="3"/>
        <v>0.93783333333333319</v>
      </c>
      <c r="H36" s="229"/>
      <c r="I36" s="205">
        <f t="shared" si="4"/>
        <v>0</v>
      </c>
      <c r="J36" s="135">
        <f t="shared" si="5"/>
        <v>0</v>
      </c>
      <c r="K36" s="138" t="e">
        <f t="shared" si="17"/>
        <v>#DIV/0!</v>
      </c>
      <c r="L36" s="51">
        <f t="shared" si="6"/>
        <v>0</v>
      </c>
      <c r="M36" s="52">
        <f t="shared" si="7"/>
        <v>0</v>
      </c>
      <c r="N36" s="53">
        <f t="shared" si="11"/>
        <v>0</v>
      </c>
      <c r="O36" s="99"/>
      <c r="P36" s="83"/>
      <c r="Q36" s="86"/>
      <c r="R36" s="93"/>
      <c r="S36" s="39"/>
      <c r="T36" s="26"/>
      <c r="U36" s="27"/>
      <c r="V36" s="28"/>
      <c r="W36" s="151">
        <f>AVERAGE(D$14:D37)</f>
        <v>-4882.75</v>
      </c>
      <c r="X36" s="159">
        <f>AVERAGE(H$13:H37)</f>
        <v>54.752966666666666</v>
      </c>
      <c r="Y36" s="155">
        <f>AVERAGE(F$13:F37)</f>
        <v>1.4215555555555555</v>
      </c>
      <c r="Z36" s="147">
        <f>AVERAGE(L$13:L37)</f>
        <v>56.042591304000005</v>
      </c>
      <c r="AA36" s="161" t="e">
        <f>AVERAGE(K$14:K36)</f>
        <v>#DIV/0!</v>
      </c>
      <c r="AB36" s="124"/>
      <c r="AC36" s="125"/>
      <c r="AD36" s="126"/>
      <c r="AE36" s="109" t="e">
        <f t="shared" si="12"/>
        <v>#N/A</v>
      </c>
      <c r="AF36" s="109" t="e">
        <f t="shared" si="8"/>
        <v>#N/A</v>
      </c>
      <c r="AG36" s="94" t="e">
        <f t="shared" si="13"/>
        <v>#N/A</v>
      </c>
      <c r="AH36" s="94" t="e">
        <f t="shared" si="14"/>
        <v>#N/A</v>
      </c>
      <c r="AI36" s="118" t="e">
        <f t="shared" si="9"/>
        <v>#N/A</v>
      </c>
    </row>
    <row r="37" spans="1:35">
      <c r="A37" s="222"/>
      <c r="B37" s="66">
        <f t="shared" si="15"/>
        <v>0</v>
      </c>
      <c r="C37" s="227"/>
      <c r="D37" s="114">
        <f t="shared" si="16"/>
        <v>0</v>
      </c>
      <c r="E37" s="61" t="e">
        <f t="shared" si="10"/>
        <v>#DIV/0!</v>
      </c>
      <c r="F37" s="12"/>
      <c r="G37" s="44">
        <f t="shared" si="3"/>
        <v>0.93783333333333319</v>
      </c>
      <c r="H37" s="229"/>
      <c r="I37" s="205">
        <f t="shared" si="4"/>
        <v>0</v>
      </c>
      <c r="J37" s="135">
        <f t="shared" si="5"/>
        <v>0</v>
      </c>
      <c r="K37" s="138" t="e">
        <f t="shared" si="17"/>
        <v>#DIV/0!</v>
      </c>
      <c r="L37" s="51">
        <f t="shared" si="6"/>
        <v>0</v>
      </c>
      <c r="M37" s="52">
        <f t="shared" si="7"/>
        <v>0</v>
      </c>
      <c r="N37" s="53">
        <f t="shared" si="11"/>
        <v>0</v>
      </c>
      <c r="O37" s="99"/>
      <c r="P37" s="83"/>
      <c r="Q37" s="86"/>
      <c r="R37" s="93"/>
      <c r="S37" s="39"/>
      <c r="T37" s="26"/>
      <c r="U37" s="27"/>
      <c r="V37" s="28"/>
      <c r="W37" s="151">
        <f>AVERAGE(D$14:D38)</f>
        <v>-4687.4399999999996</v>
      </c>
      <c r="X37" s="159">
        <f>AVERAGE(H$13:H38)</f>
        <v>54.752966666666666</v>
      </c>
      <c r="Y37" s="155">
        <f>AVERAGE(F$13:F38)</f>
        <v>1.4215555555555555</v>
      </c>
      <c r="Z37" s="147">
        <f>AVERAGE(L$13:L38)</f>
        <v>53.887107023076929</v>
      </c>
      <c r="AA37" s="161" t="e">
        <f>AVERAGE(K$14:K37)</f>
        <v>#DIV/0!</v>
      </c>
      <c r="AB37" s="124"/>
      <c r="AC37" s="125"/>
      <c r="AD37" s="126"/>
      <c r="AE37" s="109" t="e">
        <f t="shared" si="12"/>
        <v>#N/A</v>
      </c>
      <c r="AF37" s="109" t="e">
        <f t="shared" si="8"/>
        <v>#N/A</v>
      </c>
      <c r="AG37" s="94" t="e">
        <f t="shared" si="13"/>
        <v>#N/A</v>
      </c>
      <c r="AH37" s="94" t="e">
        <f t="shared" si="14"/>
        <v>#N/A</v>
      </c>
      <c r="AI37" s="118" t="e">
        <f t="shared" si="9"/>
        <v>#N/A</v>
      </c>
    </row>
    <row r="38" spans="1:35">
      <c r="A38" s="222"/>
      <c r="B38" s="66">
        <f t="shared" si="15"/>
        <v>0</v>
      </c>
      <c r="C38" s="227"/>
      <c r="D38" s="114">
        <f t="shared" si="16"/>
        <v>0</v>
      </c>
      <c r="E38" s="61" t="e">
        <f t="shared" si="10"/>
        <v>#DIV/0!</v>
      </c>
      <c r="F38" s="12"/>
      <c r="G38" s="44">
        <f t="shared" si="3"/>
        <v>0.93783333333333319</v>
      </c>
      <c r="H38" s="229"/>
      <c r="I38" s="205">
        <f t="shared" si="4"/>
        <v>0</v>
      </c>
      <c r="J38" s="135">
        <f t="shared" si="5"/>
        <v>0</v>
      </c>
      <c r="K38" s="138" t="e">
        <f t="shared" si="17"/>
        <v>#DIV/0!</v>
      </c>
      <c r="L38" s="51">
        <f t="shared" si="6"/>
        <v>0</v>
      </c>
      <c r="M38" s="52">
        <f t="shared" si="7"/>
        <v>0</v>
      </c>
      <c r="N38" s="53">
        <f t="shared" si="11"/>
        <v>0</v>
      </c>
      <c r="O38" s="99"/>
      <c r="P38" s="82">
        <f>SUM(D35:D38)</f>
        <v>0</v>
      </c>
      <c r="Q38" s="87" t="e">
        <f>AVERAGE(F35:F38)</f>
        <v>#DIV/0!</v>
      </c>
      <c r="R38" s="94">
        <f>AVERAGE(G35:G38)</f>
        <v>0.93783333333333319</v>
      </c>
      <c r="S38" s="40">
        <f>SUM(H35:H38)</f>
        <v>0</v>
      </c>
      <c r="T38" s="19">
        <f>SUM(L35:L38)</f>
        <v>0</v>
      </c>
      <c r="U38" s="29">
        <f>SUM(M35:M38)</f>
        <v>0</v>
      </c>
      <c r="V38" s="20">
        <f>T38-U38</f>
        <v>0</v>
      </c>
      <c r="W38" s="151">
        <f>AVERAGE(D$14:D39)</f>
        <v>-4507.1538461538457</v>
      </c>
      <c r="X38" s="159">
        <f>AVERAGE(H$13:H39)</f>
        <v>54.752966666666666</v>
      </c>
      <c r="Y38" s="155">
        <f>AVERAGE(F$13:F39)</f>
        <v>1.4215555555555555</v>
      </c>
      <c r="Z38" s="147">
        <f>AVERAGE(L$13:L39)</f>
        <v>51.891288244444453</v>
      </c>
      <c r="AA38" s="161" t="e">
        <f>AVERAGE(K$14:K38)</f>
        <v>#DIV/0!</v>
      </c>
      <c r="AB38" s="19">
        <f>AVERAGE(T$18,T$22,T$26,T$30,T34,T38)</f>
        <v>207.51864710000004</v>
      </c>
      <c r="AC38" s="29">
        <f>AVERAGE(U$18,U$22,U$26,U$30)</f>
        <v>205.39802007499998</v>
      </c>
      <c r="AD38" s="20">
        <f>AVERAGE(V$18,V$22,V$26,V$30)</f>
        <v>105.87995057500007</v>
      </c>
      <c r="AE38" s="109" t="e">
        <f t="shared" si="12"/>
        <v>#N/A</v>
      </c>
      <c r="AF38" s="109" t="e">
        <f t="shared" si="8"/>
        <v>#N/A</v>
      </c>
      <c r="AG38" s="94" t="e">
        <f t="shared" si="13"/>
        <v>#N/A</v>
      </c>
      <c r="AH38" s="94" t="e">
        <f t="shared" si="14"/>
        <v>#N/A</v>
      </c>
      <c r="AI38" s="118" t="e">
        <f t="shared" si="9"/>
        <v>#N/A</v>
      </c>
    </row>
    <row r="39" spans="1:35">
      <c r="A39" s="222"/>
      <c r="B39" s="66">
        <f t="shared" si="15"/>
        <v>0</v>
      </c>
      <c r="C39" s="227"/>
      <c r="D39" s="114">
        <f t="shared" si="16"/>
        <v>0</v>
      </c>
      <c r="E39" s="61" t="e">
        <f t="shared" si="10"/>
        <v>#DIV/0!</v>
      </c>
      <c r="F39" s="12"/>
      <c r="G39" s="44">
        <f t="shared" si="3"/>
        <v>0.93783333333333319</v>
      </c>
      <c r="H39" s="229"/>
      <c r="I39" s="205">
        <f t="shared" si="4"/>
        <v>0</v>
      </c>
      <c r="J39" s="135">
        <f t="shared" si="5"/>
        <v>0</v>
      </c>
      <c r="K39" s="138" t="e">
        <f t="shared" si="17"/>
        <v>#DIV/0!</v>
      </c>
      <c r="L39" s="51">
        <f t="shared" si="6"/>
        <v>0</v>
      </c>
      <c r="M39" s="52">
        <f t="shared" si="7"/>
        <v>0</v>
      </c>
      <c r="N39" s="53">
        <f t="shared" si="11"/>
        <v>0</v>
      </c>
      <c r="O39" s="99"/>
      <c r="P39" s="83"/>
      <c r="Q39" s="86"/>
      <c r="R39" s="93"/>
      <c r="S39" s="39"/>
      <c r="T39" s="26"/>
      <c r="U39" s="27"/>
      <c r="V39" s="28"/>
      <c r="W39" s="151">
        <f>AVERAGE(D$14:D40)</f>
        <v>-4340.2222222222226</v>
      </c>
      <c r="X39" s="159">
        <f>AVERAGE(H$13:H40)</f>
        <v>54.752966666666666</v>
      </c>
      <c r="Y39" s="155">
        <f>AVERAGE(F$13:F40)</f>
        <v>1.4215555555555555</v>
      </c>
      <c r="Z39" s="147">
        <f>AVERAGE(L$13:L40)</f>
        <v>50.038027950000007</v>
      </c>
      <c r="AA39" s="161" t="e">
        <f>AVERAGE(K$14:K39)</f>
        <v>#DIV/0!</v>
      </c>
      <c r="AB39" s="124"/>
      <c r="AC39" s="125"/>
      <c r="AD39" s="126"/>
      <c r="AE39" s="109" t="e">
        <f t="shared" si="12"/>
        <v>#N/A</v>
      </c>
      <c r="AF39" s="109" t="e">
        <f t="shared" si="8"/>
        <v>#N/A</v>
      </c>
      <c r="AG39" s="94" t="e">
        <f t="shared" si="13"/>
        <v>#N/A</v>
      </c>
      <c r="AH39" s="94" t="e">
        <f t="shared" si="14"/>
        <v>#N/A</v>
      </c>
      <c r="AI39" s="118" t="e">
        <f t="shared" si="9"/>
        <v>#N/A</v>
      </c>
    </row>
    <row r="40" spans="1:35">
      <c r="A40" s="222"/>
      <c r="B40" s="66">
        <f t="shared" si="15"/>
        <v>0</v>
      </c>
      <c r="C40" s="227"/>
      <c r="D40" s="114">
        <f t="shared" si="16"/>
        <v>0</v>
      </c>
      <c r="E40" s="61" t="e">
        <f t="shared" si="10"/>
        <v>#DIV/0!</v>
      </c>
      <c r="F40" s="12"/>
      <c r="G40" s="44">
        <f t="shared" si="3"/>
        <v>0.93783333333333319</v>
      </c>
      <c r="H40" s="229"/>
      <c r="I40" s="205">
        <f t="shared" si="4"/>
        <v>0</v>
      </c>
      <c r="J40" s="135">
        <f t="shared" si="5"/>
        <v>0</v>
      </c>
      <c r="K40" s="138" t="e">
        <f t="shared" si="17"/>
        <v>#DIV/0!</v>
      </c>
      <c r="L40" s="51">
        <f t="shared" si="6"/>
        <v>0</v>
      </c>
      <c r="M40" s="52">
        <f t="shared" si="7"/>
        <v>0</v>
      </c>
      <c r="N40" s="53">
        <f t="shared" si="11"/>
        <v>0</v>
      </c>
      <c r="O40" s="99"/>
      <c r="P40" s="83"/>
      <c r="Q40" s="86"/>
      <c r="R40" s="93"/>
      <c r="S40" s="39"/>
      <c r="T40" s="26"/>
      <c r="U40" s="27"/>
      <c r="V40" s="28"/>
      <c r="W40" s="151">
        <f>AVERAGE(D$14:D41)</f>
        <v>-4185.2142857142853</v>
      </c>
      <c r="X40" s="159">
        <f>AVERAGE(H$13:H41)</f>
        <v>54.752966666666666</v>
      </c>
      <c r="Y40" s="155">
        <f>AVERAGE(F$13:F41)</f>
        <v>1.4215555555555555</v>
      </c>
      <c r="Z40" s="147">
        <f>AVERAGE(L$13:L41)</f>
        <v>48.31257871034483</v>
      </c>
      <c r="AA40" s="161" t="e">
        <f>AVERAGE(K$14:K40)</f>
        <v>#DIV/0!</v>
      </c>
      <c r="AB40" s="124"/>
      <c r="AC40" s="125"/>
      <c r="AD40" s="126"/>
      <c r="AE40" s="109" t="e">
        <f t="shared" si="12"/>
        <v>#N/A</v>
      </c>
      <c r="AF40" s="109" t="e">
        <f t="shared" si="8"/>
        <v>#N/A</v>
      </c>
      <c r="AG40" s="94" t="e">
        <f t="shared" si="13"/>
        <v>#N/A</v>
      </c>
      <c r="AH40" s="94" t="e">
        <f t="shared" si="14"/>
        <v>#N/A</v>
      </c>
      <c r="AI40" s="118" t="e">
        <f t="shared" si="9"/>
        <v>#N/A</v>
      </c>
    </row>
    <row r="41" spans="1:35">
      <c r="A41" s="222"/>
      <c r="B41" s="66">
        <f t="shared" si="15"/>
        <v>0</v>
      </c>
      <c r="C41" s="227"/>
      <c r="D41" s="114">
        <f t="shared" si="16"/>
        <v>0</v>
      </c>
      <c r="E41" s="61" t="e">
        <f t="shared" si="10"/>
        <v>#DIV/0!</v>
      </c>
      <c r="F41" s="12"/>
      <c r="G41" s="44">
        <f t="shared" si="3"/>
        <v>0.93783333333333319</v>
      </c>
      <c r="H41" s="229"/>
      <c r="I41" s="205">
        <f t="shared" si="4"/>
        <v>0</v>
      </c>
      <c r="J41" s="135">
        <f t="shared" si="5"/>
        <v>0</v>
      </c>
      <c r="K41" s="138" t="e">
        <f t="shared" si="17"/>
        <v>#DIV/0!</v>
      </c>
      <c r="L41" s="51">
        <f t="shared" si="6"/>
        <v>0</v>
      </c>
      <c r="M41" s="52">
        <f t="shared" si="7"/>
        <v>0</v>
      </c>
      <c r="N41" s="53">
        <f t="shared" si="11"/>
        <v>0</v>
      </c>
      <c r="O41" s="99"/>
      <c r="P41" s="83"/>
      <c r="Q41" s="88"/>
      <c r="R41" s="95"/>
      <c r="S41" s="54"/>
      <c r="T41" s="55"/>
      <c r="U41" s="56"/>
      <c r="V41" s="57"/>
      <c r="W41" s="151">
        <f>AVERAGE(D$14:D42)</f>
        <v>-4040.8965517241381</v>
      </c>
      <c r="X41" s="159">
        <f>AVERAGE(H$13:H42)</f>
        <v>54.752966666666666</v>
      </c>
      <c r="Y41" s="155">
        <f>AVERAGE(F$13:F42)</f>
        <v>1.4215555555555555</v>
      </c>
      <c r="Z41" s="147">
        <f>AVERAGE(L$13:L42)</f>
        <v>46.702159420000008</v>
      </c>
      <c r="AA41" s="161" t="e">
        <f>AVERAGE(K$14:K41)</f>
        <v>#DIV/0!</v>
      </c>
      <c r="AB41" s="124"/>
      <c r="AC41" s="125"/>
      <c r="AD41" s="126"/>
      <c r="AE41" s="109" t="e">
        <f t="shared" si="12"/>
        <v>#N/A</v>
      </c>
      <c r="AF41" s="109" t="e">
        <f t="shared" si="8"/>
        <v>#N/A</v>
      </c>
      <c r="AG41" s="94" t="e">
        <f t="shared" si="13"/>
        <v>#N/A</v>
      </c>
      <c r="AH41" s="94" t="e">
        <f t="shared" si="14"/>
        <v>#N/A</v>
      </c>
      <c r="AI41" s="118" t="e">
        <f t="shared" si="9"/>
        <v>#N/A</v>
      </c>
    </row>
    <row r="42" spans="1:35">
      <c r="A42" s="222"/>
      <c r="B42" s="66">
        <f t="shared" si="15"/>
        <v>0</v>
      </c>
      <c r="C42" s="227"/>
      <c r="D42" s="114">
        <f t="shared" si="16"/>
        <v>0</v>
      </c>
      <c r="E42" s="61" t="e">
        <f t="shared" si="10"/>
        <v>#DIV/0!</v>
      </c>
      <c r="F42" s="12"/>
      <c r="G42" s="44">
        <f t="shared" si="3"/>
        <v>0.93783333333333319</v>
      </c>
      <c r="H42" s="229"/>
      <c r="I42" s="205">
        <f t="shared" si="4"/>
        <v>0</v>
      </c>
      <c r="J42" s="135">
        <f t="shared" si="5"/>
        <v>0</v>
      </c>
      <c r="K42" s="138" t="e">
        <f t="shared" si="17"/>
        <v>#DIV/0!</v>
      </c>
      <c r="L42" s="51">
        <f t="shared" si="6"/>
        <v>0</v>
      </c>
      <c r="M42" s="52">
        <f t="shared" si="7"/>
        <v>0</v>
      </c>
      <c r="N42" s="53">
        <f t="shared" si="11"/>
        <v>0</v>
      </c>
      <c r="O42" s="99"/>
      <c r="P42" s="82">
        <f>SUM(D39:D42)</f>
        <v>0</v>
      </c>
      <c r="Q42" s="87" t="e">
        <f>AVERAGE(F39:F42)</f>
        <v>#DIV/0!</v>
      </c>
      <c r="R42" s="94">
        <f>AVERAGE(G39:G42)</f>
        <v>0.93783333333333319</v>
      </c>
      <c r="S42" s="40">
        <f>SUM(H39:H42)</f>
        <v>0</v>
      </c>
      <c r="T42" s="19">
        <f>SUM(L39:L42)</f>
        <v>0</v>
      </c>
      <c r="U42" s="29">
        <f>SUM(M39:M42)</f>
        <v>0</v>
      </c>
      <c r="V42" s="20">
        <f>T42-U42</f>
        <v>0</v>
      </c>
      <c r="W42" s="151">
        <f>AVERAGE(D$14:D43)</f>
        <v>-3906.2</v>
      </c>
      <c r="X42" s="159">
        <f>AVERAGE(H$13:H43)</f>
        <v>54.752966666666666</v>
      </c>
      <c r="Y42" s="155">
        <f>AVERAGE(F$13:F43)</f>
        <v>1.4215555555555555</v>
      </c>
      <c r="Z42" s="147">
        <f>AVERAGE(L$13:L43)</f>
        <v>45.195638148387104</v>
      </c>
      <c r="AA42" s="161" t="e">
        <f>AVERAGE(K$14:K42)</f>
        <v>#DIV/0!</v>
      </c>
      <c r="AB42" s="19">
        <f>AVERAGE(T$18,T$22,T$26,T$30,T34,T38,T42)</f>
        <v>177.87312608571432</v>
      </c>
      <c r="AC42" s="29">
        <f>AVERAGE(U$18,U$22,U$26,U$30)</f>
        <v>205.39802007499998</v>
      </c>
      <c r="AD42" s="20">
        <f>AVERAGE(V$18,V$22,V$26,V$30)</f>
        <v>105.87995057500007</v>
      </c>
      <c r="AE42" s="109" t="e">
        <f t="shared" si="12"/>
        <v>#N/A</v>
      </c>
      <c r="AF42" s="109" t="e">
        <f t="shared" si="8"/>
        <v>#N/A</v>
      </c>
      <c r="AG42" s="94" t="e">
        <f t="shared" si="13"/>
        <v>#N/A</v>
      </c>
      <c r="AH42" s="94" t="e">
        <f t="shared" si="14"/>
        <v>#N/A</v>
      </c>
      <c r="AI42" s="118" t="e">
        <f t="shared" si="9"/>
        <v>#N/A</v>
      </c>
    </row>
    <row r="43" spans="1:35">
      <c r="A43" s="222"/>
      <c r="B43" s="66">
        <f t="shared" si="15"/>
        <v>0</v>
      </c>
      <c r="C43" s="227"/>
      <c r="D43" s="114">
        <f t="shared" si="16"/>
        <v>0</v>
      </c>
      <c r="E43" s="61" t="e">
        <f t="shared" si="10"/>
        <v>#DIV/0!</v>
      </c>
      <c r="F43" s="12"/>
      <c r="G43" s="44">
        <f t="shared" si="3"/>
        <v>0.93783333333333319</v>
      </c>
      <c r="H43" s="229"/>
      <c r="I43" s="205">
        <f t="shared" si="4"/>
        <v>0</v>
      </c>
      <c r="J43" s="135">
        <f t="shared" si="5"/>
        <v>0</v>
      </c>
      <c r="K43" s="138" t="e">
        <f t="shared" si="17"/>
        <v>#DIV/0!</v>
      </c>
      <c r="L43" s="51">
        <f t="shared" si="6"/>
        <v>0</v>
      </c>
      <c r="M43" s="52">
        <f t="shared" si="7"/>
        <v>0</v>
      </c>
      <c r="N43" s="53">
        <f t="shared" si="11"/>
        <v>0</v>
      </c>
      <c r="O43" s="99"/>
      <c r="P43" s="83"/>
      <c r="Q43" s="86"/>
      <c r="R43" s="93"/>
      <c r="S43" s="39"/>
      <c r="T43" s="26"/>
      <c r="U43" s="27"/>
      <c r="V43" s="28"/>
      <c r="W43" s="151">
        <f>AVERAGE(D$14:D44)</f>
        <v>-3780.1935483870966</v>
      </c>
      <c r="X43" s="159">
        <f>AVERAGE(H$13:H44)</f>
        <v>54.752966666666666</v>
      </c>
      <c r="Y43" s="155">
        <f>AVERAGE(F$13:F44)</f>
        <v>1.4215555555555555</v>
      </c>
      <c r="Z43" s="147">
        <f>AVERAGE(L$13:L44)</f>
        <v>43.783274456250005</v>
      </c>
      <c r="AA43" s="161" t="e">
        <f>AVERAGE(K$14:K43)</f>
        <v>#DIV/0!</v>
      </c>
      <c r="AB43" s="124"/>
      <c r="AC43" s="125"/>
      <c r="AD43" s="126"/>
      <c r="AE43" s="109" t="e">
        <f t="shared" si="12"/>
        <v>#N/A</v>
      </c>
      <c r="AF43" s="109" t="e">
        <f t="shared" si="8"/>
        <v>#N/A</v>
      </c>
      <c r="AG43" s="94" t="e">
        <f t="shared" si="13"/>
        <v>#N/A</v>
      </c>
      <c r="AH43" s="94" t="e">
        <f t="shared" si="14"/>
        <v>#N/A</v>
      </c>
      <c r="AI43" s="118" t="e">
        <f t="shared" si="9"/>
        <v>#N/A</v>
      </c>
    </row>
    <row r="44" spans="1:35">
      <c r="A44" s="222"/>
      <c r="B44" s="66">
        <f t="shared" si="15"/>
        <v>0</v>
      </c>
      <c r="C44" s="227"/>
      <c r="D44" s="114">
        <f t="shared" si="16"/>
        <v>0</v>
      </c>
      <c r="E44" s="61" t="e">
        <f t="shared" si="10"/>
        <v>#DIV/0!</v>
      </c>
      <c r="F44" s="12"/>
      <c r="G44" s="44">
        <f t="shared" si="3"/>
        <v>0.93783333333333319</v>
      </c>
      <c r="H44" s="229"/>
      <c r="I44" s="205">
        <f t="shared" si="4"/>
        <v>0</v>
      </c>
      <c r="J44" s="135">
        <f t="shared" si="5"/>
        <v>0</v>
      </c>
      <c r="K44" s="138" t="e">
        <f t="shared" si="17"/>
        <v>#DIV/0!</v>
      </c>
      <c r="L44" s="51">
        <f t="shared" si="6"/>
        <v>0</v>
      </c>
      <c r="M44" s="52">
        <f t="shared" si="7"/>
        <v>0</v>
      </c>
      <c r="N44" s="53">
        <f t="shared" si="11"/>
        <v>0</v>
      </c>
      <c r="O44" s="99"/>
      <c r="P44" s="83"/>
      <c r="Q44" s="86"/>
      <c r="R44" s="93"/>
      <c r="S44" s="39"/>
      <c r="T44" s="26"/>
      <c r="U44" s="27"/>
      <c r="V44" s="28"/>
      <c r="W44" s="151">
        <f>AVERAGE(D$14:D45)</f>
        <v>-3662.0625</v>
      </c>
      <c r="X44" s="159">
        <f>AVERAGE(H$13:H45)</f>
        <v>54.752966666666666</v>
      </c>
      <c r="Y44" s="155">
        <f>AVERAGE(F$13:F45)</f>
        <v>1.4215555555555555</v>
      </c>
      <c r="Z44" s="147">
        <f>AVERAGE(L$13:L45)</f>
        <v>42.456508563636369</v>
      </c>
      <c r="AA44" s="161" t="e">
        <f>AVERAGE(K$14:K44)</f>
        <v>#DIV/0!</v>
      </c>
      <c r="AB44" s="124"/>
      <c r="AC44" s="125"/>
      <c r="AD44" s="126"/>
      <c r="AE44" s="109" t="e">
        <f t="shared" si="12"/>
        <v>#N/A</v>
      </c>
      <c r="AF44" s="109" t="e">
        <f t="shared" si="8"/>
        <v>#N/A</v>
      </c>
      <c r="AG44" s="94" t="e">
        <f t="shared" si="13"/>
        <v>#N/A</v>
      </c>
      <c r="AH44" s="94" t="e">
        <f t="shared" si="14"/>
        <v>#N/A</v>
      </c>
      <c r="AI44" s="118" t="e">
        <f t="shared" si="9"/>
        <v>#N/A</v>
      </c>
    </row>
    <row r="45" spans="1:35">
      <c r="A45" s="222"/>
      <c r="B45" s="66">
        <f t="shared" si="15"/>
        <v>0</v>
      </c>
      <c r="C45" s="227"/>
      <c r="D45" s="114">
        <f t="shared" si="16"/>
        <v>0</v>
      </c>
      <c r="E45" s="61" t="e">
        <f t="shared" si="10"/>
        <v>#DIV/0!</v>
      </c>
      <c r="F45" s="12"/>
      <c r="G45" s="44">
        <f t="shared" si="3"/>
        <v>0.93783333333333319</v>
      </c>
      <c r="H45" s="229"/>
      <c r="I45" s="205">
        <f t="shared" si="4"/>
        <v>0</v>
      </c>
      <c r="J45" s="135">
        <f t="shared" si="5"/>
        <v>0</v>
      </c>
      <c r="K45" s="138" t="e">
        <f t="shared" si="17"/>
        <v>#DIV/0!</v>
      </c>
      <c r="L45" s="51">
        <f t="shared" si="6"/>
        <v>0</v>
      </c>
      <c r="M45" s="52">
        <f t="shared" si="7"/>
        <v>0</v>
      </c>
      <c r="N45" s="53">
        <f t="shared" si="11"/>
        <v>0</v>
      </c>
      <c r="O45" s="99"/>
      <c r="P45" s="83"/>
      <c r="Q45" s="86"/>
      <c r="R45" s="93"/>
      <c r="S45" s="39"/>
      <c r="T45" s="26"/>
      <c r="U45" s="27"/>
      <c r="V45" s="28"/>
      <c r="W45" s="151">
        <f>AVERAGE(D$14:D46)</f>
        <v>-3551.090909090909</v>
      </c>
      <c r="X45" s="159">
        <f>AVERAGE(H$13:H46)</f>
        <v>54.752966666666666</v>
      </c>
      <c r="Y45" s="155">
        <f>AVERAGE(F$13:F46)</f>
        <v>1.4215555555555555</v>
      </c>
      <c r="Z45" s="147">
        <f>AVERAGE(L$13:L46)</f>
        <v>41.207787723529414</v>
      </c>
      <c r="AA45" s="161" t="e">
        <f>AVERAGE(K$14:K45)</f>
        <v>#DIV/0!</v>
      </c>
      <c r="AB45" s="124"/>
      <c r="AC45" s="125"/>
      <c r="AD45" s="126"/>
      <c r="AE45" s="109" t="e">
        <f t="shared" si="12"/>
        <v>#N/A</v>
      </c>
      <c r="AF45" s="109" t="e">
        <f t="shared" si="8"/>
        <v>#N/A</v>
      </c>
      <c r="AG45" s="94" t="e">
        <f t="shared" si="13"/>
        <v>#N/A</v>
      </c>
      <c r="AH45" s="94" t="e">
        <f t="shared" si="14"/>
        <v>#N/A</v>
      </c>
      <c r="AI45" s="118" t="e">
        <f t="shared" si="9"/>
        <v>#N/A</v>
      </c>
    </row>
    <row r="46" spans="1:35">
      <c r="A46" s="222"/>
      <c r="B46" s="66">
        <f t="shared" si="15"/>
        <v>0</v>
      </c>
      <c r="C46" s="227"/>
      <c r="D46" s="114">
        <f t="shared" si="16"/>
        <v>0</v>
      </c>
      <c r="E46" s="61" t="e">
        <f t="shared" si="10"/>
        <v>#DIV/0!</v>
      </c>
      <c r="F46" s="12"/>
      <c r="G46" s="44">
        <f t="shared" si="3"/>
        <v>0.93783333333333319</v>
      </c>
      <c r="H46" s="229"/>
      <c r="I46" s="205">
        <f t="shared" si="4"/>
        <v>0</v>
      </c>
      <c r="J46" s="135">
        <f t="shared" si="5"/>
        <v>0</v>
      </c>
      <c r="K46" s="138" t="e">
        <f t="shared" si="17"/>
        <v>#DIV/0!</v>
      </c>
      <c r="L46" s="51">
        <f t="shared" si="6"/>
        <v>0</v>
      </c>
      <c r="M46" s="52">
        <f t="shared" si="7"/>
        <v>0</v>
      </c>
      <c r="N46" s="53">
        <f t="shared" si="11"/>
        <v>0</v>
      </c>
      <c r="O46" s="99"/>
      <c r="P46" s="82">
        <f>SUM(D43:D46)</f>
        <v>0</v>
      </c>
      <c r="Q46" s="87" t="e">
        <f>AVERAGE(F43:F46)</f>
        <v>#DIV/0!</v>
      </c>
      <c r="R46" s="94">
        <f>AVERAGE(G43:G46)</f>
        <v>0.93783333333333319</v>
      </c>
      <c r="S46" s="40">
        <f>SUM(H43:H46)</f>
        <v>0</v>
      </c>
      <c r="T46" s="19">
        <f>SUM(L43:L46)</f>
        <v>0</v>
      </c>
      <c r="U46" s="29">
        <f>SUM(M43:M46)</f>
        <v>0</v>
      </c>
      <c r="V46" s="20">
        <f>T46-U46</f>
        <v>0</v>
      </c>
      <c r="W46" s="151">
        <f>AVERAGE(D$14:D47)</f>
        <v>-3446.6470588235293</v>
      </c>
      <c r="X46" s="159">
        <f>AVERAGE(H$13:H47)</f>
        <v>54.752966666666666</v>
      </c>
      <c r="Y46" s="155">
        <f>AVERAGE(F$13:F47)</f>
        <v>1.4215555555555555</v>
      </c>
      <c r="Z46" s="147">
        <f>AVERAGE(L$13:L47)</f>
        <v>40.030422360000003</v>
      </c>
      <c r="AA46" s="161" t="e">
        <f>AVERAGE(K$14:K46)</f>
        <v>#DIV/0!</v>
      </c>
      <c r="AB46" s="19">
        <f>AVERAGE(T$18,T$22,T$26,T$30,T34,T38,T42,T46)</f>
        <v>155.63898532500002</v>
      </c>
      <c r="AC46" s="29">
        <f>AVERAGE(U$18,U$22,U$26,U$30)</f>
        <v>205.39802007499998</v>
      </c>
      <c r="AD46" s="20">
        <f>AVERAGE(V$18,V$22,V$26,V$30)</f>
        <v>105.87995057500007</v>
      </c>
      <c r="AE46" s="109" t="e">
        <f t="shared" si="12"/>
        <v>#N/A</v>
      </c>
      <c r="AF46" s="109" t="e">
        <f t="shared" si="8"/>
        <v>#N/A</v>
      </c>
      <c r="AG46" s="94" t="e">
        <f t="shared" si="13"/>
        <v>#N/A</v>
      </c>
      <c r="AH46" s="94" t="e">
        <f t="shared" si="14"/>
        <v>#N/A</v>
      </c>
      <c r="AI46" s="118" t="e">
        <f t="shared" si="9"/>
        <v>#N/A</v>
      </c>
    </row>
    <row r="47" spans="1:35">
      <c r="A47" s="222"/>
      <c r="B47" s="66">
        <f t="shared" si="15"/>
        <v>0</v>
      </c>
      <c r="C47" s="227"/>
      <c r="D47" s="114">
        <f t="shared" si="16"/>
        <v>0</v>
      </c>
      <c r="E47" s="61" t="e">
        <f t="shared" si="10"/>
        <v>#DIV/0!</v>
      </c>
      <c r="F47" s="12"/>
      <c r="G47" s="44">
        <f t="shared" si="3"/>
        <v>0.93783333333333319</v>
      </c>
      <c r="H47" s="229"/>
      <c r="I47" s="205">
        <f t="shared" si="4"/>
        <v>0</v>
      </c>
      <c r="J47" s="135">
        <f t="shared" si="5"/>
        <v>0</v>
      </c>
      <c r="K47" s="138" t="e">
        <f t="shared" si="17"/>
        <v>#DIV/0!</v>
      </c>
      <c r="L47" s="51">
        <f t="shared" si="6"/>
        <v>0</v>
      </c>
      <c r="M47" s="52">
        <f t="shared" si="7"/>
        <v>0</v>
      </c>
      <c r="N47" s="53">
        <f t="shared" si="11"/>
        <v>0</v>
      </c>
      <c r="O47" s="99"/>
      <c r="P47" s="83"/>
      <c r="Q47" s="86"/>
      <c r="R47" s="93"/>
      <c r="S47" s="39"/>
      <c r="T47" s="26"/>
      <c r="U47" s="27"/>
      <c r="V47" s="28"/>
      <c r="W47" s="151">
        <f>AVERAGE(D$14:D48)</f>
        <v>-3348.1714285714284</v>
      </c>
      <c r="X47" s="159">
        <f>AVERAGE(H$13:H48)</f>
        <v>54.752966666666666</v>
      </c>
      <c r="Y47" s="155">
        <f>AVERAGE(F$13:F48)</f>
        <v>1.4215555555555555</v>
      </c>
      <c r="Z47" s="147">
        <f>AVERAGE(L$13:L48)</f>
        <v>38.918466183333337</v>
      </c>
      <c r="AA47" s="161" t="e">
        <f>AVERAGE(K$14:K47)</f>
        <v>#DIV/0!</v>
      </c>
      <c r="AB47" s="124"/>
      <c r="AC47" s="125"/>
      <c r="AD47" s="126"/>
      <c r="AE47" s="109" t="e">
        <f t="shared" si="12"/>
        <v>#N/A</v>
      </c>
      <c r="AF47" s="109" t="e">
        <f t="shared" si="8"/>
        <v>#N/A</v>
      </c>
      <c r="AG47" s="94" t="e">
        <f t="shared" si="13"/>
        <v>#N/A</v>
      </c>
      <c r="AH47" s="94" t="e">
        <f t="shared" si="14"/>
        <v>#N/A</v>
      </c>
      <c r="AI47" s="118" t="e">
        <f t="shared" si="9"/>
        <v>#N/A</v>
      </c>
    </row>
    <row r="48" spans="1:35">
      <c r="A48" s="222"/>
      <c r="B48" s="66">
        <f t="shared" si="15"/>
        <v>0</v>
      </c>
      <c r="C48" s="227"/>
      <c r="D48" s="114">
        <f t="shared" si="16"/>
        <v>0</v>
      </c>
      <c r="E48" s="61" t="e">
        <f t="shared" si="10"/>
        <v>#DIV/0!</v>
      </c>
      <c r="F48" s="12"/>
      <c r="G48" s="44">
        <f t="shared" si="3"/>
        <v>0.93783333333333319</v>
      </c>
      <c r="H48" s="229"/>
      <c r="I48" s="205">
        <f t="shared" si="4"/>
        <v>0</v>
      </c>
      <c r="J48" s="135">
        <f t="shared" si="5"/>
        <v>0</v>
      </c>
      <c r="K48" s="138" t="e">
        <f t="shared" si="17"/>
        <v>#DIV/0!</v>
      </c>
      <c r="L48" s="51">
        <f t="shared" si="6"/>
        <v>0</v>
      </c>
      <c r="M48" s="52">
        <f t="shared" si="7"/>
        <v>0</v>
      </c>
      <c r="N48" s="53">
        <f t="shared" si="11"/>
        <v>0</v>
      </c>
      <c r="O48" s="99"/>
      <c r="P48" s="83"/>
      <c r="Q48" s="86"/>
      <c r="R48" s="93"/>
      <c r="S48" s="39"/>
      <c r="T48" s="26"/>
      <c r="U48" s="27"/>
      <c r="V48" s="28"/>
      <c r="W48" s="151">
        <f>AVERAGE(D$14:D49)</f>
        <v>-3255.1666666666665</v>
      </c>
      <c r="X48" s="159">
        <f>AVERAGE(H$13:H49)</f>
        <v>54.752966666666666</v>
      </c>
      <c r="Y48" s="155">
        <f>AVERAGE(F$13:F49)</f>
        <v>1.4215555555555555</v>
      </c>
      <c r="Z48" s="147">
        <f>AVERAGE(L$13:L49)</f>
        <v>37.86661574594595</v>
      </c>
      <c r="AA48" s="161" t="e">
        <f>AVERAGE(K$14:K48)</f>
        <v>#DIV/0!</v>
      </c>
      <c r="AB48" s="124"/>
      <c r="AC48" s="125"/>
      <c r="AD48" s="126"/>
      <c r="AE48" s="109" t="e">
        <f t="shared" si="12"/>
        <v>#N/A</v>
      </c>
      <c r="AF48" s="109" t="e">
        <f t="shared" si="8"/>
        <v>#N/A</v>
      </c>
      <c r="AG48" s="94" t="e">
        <f t="shared" si="13"/>
        <v>#N/A</v>
      </c>
      <c r="AH48" s="94" t="e">
        <f t="shared" si="14"/>
        <v>#N/A</v>
      </c>
      <c r="AI48" s="118" t="e">
        <f t="shared" si="9"/>
        <v>#N/A</v>
      </c>
    </row>
    <row r="49" spans="1:35">
      <c r="A49" s="222"/>
      <c r="B49" s="66">
        <f t="shared" si="15"/>
        <v>0</v>
      </c>
      <c r="C49" s="227"/>
      <c r="D49" s="114">
        <f t="shared" si="16"/>
        <v>0</v>
      </c>
      <c r="E49" s="61" t="e">
        <f t="shared" si="10"/>
        <v>#DIV/0!</v>
      </c>
      <c r="F49" s="12"/>
      <c r="G49" s="44">
        <f t="shared" si="3"/>
        <v>0.93783333333333319</v>
      </c>
      <c r="H49" s="229"/>
      <c r="I49" s="205">
        <f t="shared" si="4"/>
        <v>0</v>
      </c>
      <c r="J49" s="135">
        <f t="shared" si="5"/>
        <v>0</v>
      </c>
      <c r="K49" s="138" t="e">
        <f t="shared" si="17"/>
        <v>#DIV/0!</v>
      </c>
      <c r="L49" s="51">
        <f t="shared" si="6"/>
        <v>0</v>
      </c>
      <c r="M49" s="52">
        <f t="shared" si="7"/>
        <v>0</v>
      </c>
      <c r="N49" s="53">
        <f t="shared" si="11"/>
        <v>0</v>
      </c>
      <c r="O49" s="99"/>
      <c r="P49" s="83"/>
      <c r="Q49" s="86"/>
      <c r="R49" s="93"/>
      <c r="S49" s="39"/>
      <c r="T49" s="26"/>
      <c r="U49" s="27"/>
      <c r="V49" s="28"/>
      <c r="W49" s="151">
        <f>AVERAGE(D$14:D50)</f>
        <v>-3167.1891891891892</v>
      </c>
      <c r="X49" s="159">
        <f>AVERAGE(H$13:H50)</f>
        <v>54.752966666666666</v>
      </c>
      <c r="Y49" s="155">
        <f>AVERAGE(F$13:F50)</f>
        <v>1.4215555555555555</v>
      </c>
      <c r="Z49" s="147">
        <f>AVERAGE(L$13:L50)</f>
        <v>36.870125857894742</v>
      </c>
      <c r="AA49" s="161" t="e">
        <f>AVERAGE(K$14:K49)</f>
        <v>#DIV/0!</v>
      </c>
      <c r="AB49" s="124"/>
      <c r="AC49" s="125"/>
      <c r="AD49" s="126"/>
      <c r="AE49" s="109" t="e">
        <f t="shared" si="12"/>
        <v>#N/A</v>
      </c>
      <c r="AF49" s="109" t="e">
        <f t="shared" si="8"/>
        <v>#N/A</v>
      </c>
      <c r="AG49" s="94" t="e">
        <f t="shared" si="13"/>
        <v>#N/A</v>
      </c>
      <c r="AH49" s="94" t="e">
        <f t="shared" si="14"/>
        <v>#N/A</v>
      </c>
      <c r="AI49" s="118" t="e">
        <f t="shared" si="9"/>
        <v>#N/A</v>
      </c>
    </row>
    <row r="50" spans="1:35">
      <c r="A50" s="222"/>
      <c r="B50" s="66">
        <f t="shared" si="15"/>
        <v>0</v>
      </c>
      <c r="C50" s="227"/>
      <c r="D50" s="114">
        <f t="shared" si="16"/>
        <v>0</v>
      </c>
      <c r="E50" s="61" t="e">
        <f t="shared" si="10"/>
        <v>#DIV/0!</v>
      </c>
      <c r="F50" s="12"/>
      <c r="G50" s="44">
        <f t="shared" si="3"/>
        <v>0.93783333333333319</v>
      </c>
      <c r="H50" s="229"/>
      <c r="I50" s="205">
        <f t="shared" si="4"/>
        <v>0</v>
      </c>
      <c r="J50" s="135">
        <f t="shared" si="5"/>
        <v>0</v>
      </c>
      <c r="K50" s="138" t="e">
        <f t="shared" si="17"/>
        <v>#DIV/0!</v>
      </c>
      <c r="L50" s="51">
        <f t="shared" si="6"/>
        <v>0</v>
      </c>
      <c r="M50" s="52">
        <f t="shared" si="7"/>
        <v>0</v>
      </c>
      <c r="N50" s="53">
        <f t="shared" si="11"/>
        <v>0</v>
      </c>
      <c r="O50" s="99"/>
      <c r="P50" s="82">
        <f>SUM(D47:D50)</f>
        <v>0</v>
      </c>
      <c r="Q50" s="87" t="e">
        <f>AVERAGE(F47:F50)</f>
        <v>#DIV/0!</v>
      </c>
      <c r="R50" s="94">
        <f>AVERAGE(G47:G50)</f>
        <v>0.93783333333333319</v>
      </c>
      <c r="S50" s="40">
        <f>SUM(H47:H50)</f>
        <v>0</v>
      </c>
      <c r="T50" s="19">
        <f>SUM(L47:L50)</f>
        <v>0</v>
      </c>
      <c r="U50" s="29">
        <f>SUM(M47:M50)</f>
        <v>0</v>
      </c>
      <c r="V50" s="20">
        <f>T50-U50</f>
        <v>0</v>
      </c>
      <c r="W50" s="151">
        <f>AVERAGE(D$14:D51)</f>
        <v>-3083.8421052631579</v>
      </c>
      <c r="X50" s="159">
        <f>AVERAGE(H$13:H51)</f>
        <v>54.752966666666666</v>
      </c>
      <c r="Y50" s="155">
        <f>AVERAGE(F$13:F51)</f>
        <v>1.4215555555555555</v>
      </c>
      <c r="Z50" s="147">
        <f>AVERAGE(L$13:L51)</f>
        <v>35.924738015384619</v>
      </c>
      <c r="AA50" s="161" t="e">
        <f>AVERAGE(K$14:K50)</f>
        <v>#DIV/0!</v>
      </c>
      <c r="AB50" s="19">
        <f>AVERAGE(T18,T22,T26,T30,T34,T38,T42,T46,T50)</f>
        <v>138.34576473333334</v>
      </c>
      <c r="AC50" s="29">
        <f>AVERAGE(U$18,U$22,U$26,U$30)</f>
        <v>205.39802007499998</v>
      </c>
      <c r="AD50" s="20">
        <f>AVERAGE(V$18,V$22,V$26,V$30)</f>
        <v>105.87995057500007</v>
      </c>
      <c r="AE50" s="109" t="e">
        <f t="shared" si="12"/>
        <v>#N/A</v>
      </c>
      <c r="AF50" s="109" t="e">
        <f t="shared" si="8"/>
        <v>#N/A</v>
      </c>
      <c r="AG50" s="94" t="e">
        <f t="shared" si="13"/>
        <v>#N/A</v>
      </c>
      <c r="AH50" s="94" t="e">
        <f t="shared" si="14"/>
        <v>#N/A</v>
      </c>
      <c r="AI50" s="118" t="e">
        <f t="shared" si="9"/>
        <v>#N/A</v>
      </c>
    </row>
    <row r="51" spans="1:35" ht="13.5" thickBot="1">
      <c r="A51" s="224"/>
      <c r="B51" s="67">
        <f t="shared" si="15"/>
        <v>0</v>
      </c>
      <c r="C51" s="228"/>
      <c r="D51" s="116">
        <f t="shared" si="16"/>
        <v>0</v>
      </c>
      <c r="E51" s="62" t="e">
        <f t="shared" si="10"/>
        <v>#DIV/0!</v>
      </c>
      <c r="F51" s="13"/>
      <c r="G51" s="45">
        <f t="shared" si="3"/>
        <v>0.93783333333333319</v>
      </c>
      <c r="H51" s="230"/>
      <c r="I51" s="206">
        <f t="shared" si="4"/>
        <v>0</v>
      </c>
      <c r="J51" s="136">
        <f t="shared" si="5"/>
        <v>0</v>
      </c>
      <c r="K51" s="139" t="e">
        <f t="shared" si="17"/>
        <v>#DIV/0!</v>
      </c>
      <c r="L51" s="21">
        <f t="shared" si="6"/>
        <v>0</v>
      </c>
      <c r="M51" s="36">
        <f t="shared" si="7"/>
        <v>0</v>
      </c>
      <c r="N51" s="22">
        <f t="shared" si="11"/>
        <v>0</v>
      </c>
      <c r="O51" s="100"/>
      <c r="P51" s="84"/>
      <c r="Q51" s="89"/>
      <c r="R51" s="96"/>
      <c r="S51" s="41"/>
      <c r="T51" s="30"/>
      <c r="U51" s="31"/>
      <c r="V51" s="32"/>
      <c r="W51" s="152">
        <f>AVERAGE(D$14:D52)</f>
        <v>-3083.8421052631579</v>
      </c>
      <c r="X51" s="160">
        <f>AVERAGE(H$13:H52)</f>
        <v>54.752966666666666</v>
      </c>
      <c r="Y51" s="156">
        <f>AVERAGE(F$13:F52)</f>
        <v>1.4215555555555555</v>
      </c>
      <c r="Z51" s="157">
        <f>AVERAGE(L$13:L52)</f>
        <v>35.924738015384619</v>
      </c>
      <c r="AA51" s="162" t="e">
        <f>AVERAGE(K$14:K51)</f>
        <v>#DIV/0!</v>
      </c>
      <c r="AB51" s="102"/>
      <c r="AC51" s="103"/>
      <c r="AD51" s="104"/>
      <c r="AE51" s="110" t="e">
        <f t="shared" si="12"/>
        <v>#N/A</v>
      </c>
      <c r="AF51" s="110" t="e">
        <f t="shared" si="8"/>
        <v>#N/A</v>
      </c>
      <c r="AG51" s="111" t="e">
        <f t="shared" si="13"/>
        <v>#N/A</v>
      </c>
      <c r="AH51" s="111" t="e">
        <f t="shared" si="14"/>
        <v>#N/A</v>
      </c>
      <c r="AI51" s="119" t="e">
        <f t="shared" si="9"/>
        <v>#N/A</v>
      </c>
    </row>
    <row r="55" spans="1:35">
      <c r="D55" s="6"/>
    </row>
    <row r="56" spans="1:35">
      <c r="C56" s="75"/>
      <c r="D56" s="6"/>
      <c r="E56" s="6"/>
    </row>
    <row r="57" spans="1:35">
      <c r="C57" s="75"/>
      <c r="D57" s="6"/>
      <c r="E57" s="6"/>
    </row>
  </sheetData>
  <mergeCells count="12">
    <mergeCell ref="AE11:AF11"/>
    <mergeCell ref="AG11:AH11"/>
    <mergeCell ref="A1:A2"/>
    <mergeCell ref="W11:AD11"/>
    <mergeCell ref="O11:O12"/>
    <mergeCell ref="J1:P1"/>
    <mergeCell ref="F2:G2"/>
    <mergeCell ref="F1:H1"/>
    <mergeCell ref="J8:J9"/>
    <mergeCell ref="A4:A6"/>
    <mergeCell ref="P11:V11"/>
    <mergeCell ref="L11:N11"/>
  </mergeCells>
  <phoneticPr fontId="2" type="noConversion"/>
  <conditionalFormatting sqref="B14:B30">
    <cfRule type="colorScale" priority="10">
      <colorScale>
        <cfvo type="min" val="0"/>
        <cfvo type="max" val="0"/>
        <color rgb="FFFF0000"/>
        <color rgb="FF00B050"/>
      </colorScale>
    </cfRule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14:K30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13:F51">
    <cfRule type="colorScale" priority="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14:E30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13:L30">
    <cfRule type="colorScale" priority="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M13:M30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N13:N30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13:H30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D14:D3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6</vt:i4>
      </vt:variant>
    </vt:vector>
  </HeadingPairs>
  <TitlesOfParts>
    <vt:vector size="7" baseType="lpstr">
      <vt:lpstr>Data</vt:lpstr>
      <vt:lpstr>Fuel Price</vt:lpstr>
      <vt:lpstr>Diesel Fuel Price</vt:lpstr>
      <vt:lpstr>Total Spend</vt:lpstr>
      <vt:lpstr>Per Month</vt:lpstr>
      <vt:lpstr>MPG</vt:lpstr>
      <vt:lpstr>% Full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Jay</dc:creator>
  <cp:lastModifiedBy>Benjamin Jay</cp:lastModifiedBy>
  <cp:lastPrinted>2012-03-26T07:32:35Z</cp:lastPrinted>
  <dcterms:created xsi:type="dcterms:W3CDTF">2012-02-02T11:16:33Z</dcterms:created>
  <dcterms:modified xsi:type="dcterms:W3CDTF">2012-03-27T17:25:57Z</dcterms:modified>
</cp:coreProperties>
</file>